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1"/>
  <workbookPr filterPrivacy="1"/>
  <xr:revisionPtr revIDLastSave="0" documentId="8_{EDE3A7A6-903A-45E7-B530-074801EA997F}" xr6:coauthVersionLast="47" xr6:coauthVersionMax="47" xr10:uidLastSave="{00000000-0000-0000-0000-000000000000}"/>
  <workbookProtection workbookAlgorithmName="SHA-512" workbookHashValue="S0xTIBoRgmU26W/aSSINx2NDWoMDDBNBO3ULA4auS52tEAxgm7veYUqrJeeM02HK5jq0wJNTaPAclQQdQxbruw==" workbookSaltValue="OVp5Z31/RThhA8hZx3NYPg==" workbookSpinCount="100000" lockStructure="1"/>
  <bookViews>
    <workbookView xWindow="-120" yWindow="-16320" windowWidth="29040" windowHeight="15720" xr2:uid="{00000000-000D-0000-FFFF-FFFF00000000}"/>
  </bookViews>
  <sheets>
    <sheet name="はじめに" sheetId="7" r:id="rId1"/>
    <sheet name="取得財産等管理台帳" sheetId="1" r:id="rId2"/>
    <sheet name="財産処分承認申請用" sheetId="3" r:id="rId3"/>
    <sheet name="財産処分報告用" sheetId="4" r:id="rId4"/>
    <sheet name="財産処分報告(災害)用" sheetId="9" r:id="rId5"/>
    <sheet name="残存簿価計算用" sheetId="5" state="hidden" r:id="rId6"/>
    <sheet name="残存簿価計算用(災害)" sheetId="10" state="hidden" r:id="rId7"/>
    <sheet name="リスト" sheetId="2" state="hidden" r:id="rId8"/>
  </sheets>
  <definedNames>
    <definedName name="_1">リスト!$AD$3:$AD$33</definedName>
    <definedName name="_10">リスト!$AD$277:$AD$307</definedName>
    <definedName name="_11">リスト!$AD$308:$AD$337</definedName>
    <definedName name="_12">リスト!$AD$338:$AD$368</definedName>
    <definedName name="_2">リスト!$AD$34:$AD$62</definedName>
    <definedName name="_3">リスト!$AD$63:$AD$93</definedName>
    <definedName name="_4">リスト!$AD$94:$AD$123</definedName>
    <definedName name="_5">リスト!$AD$124:$AD$154</definedName>
    <definedName name="_6">リスト!$AD$155:$AD$184</definedName>
    <definedName name="_7">リスト!$AD$185:$AD$215</definedName>
    <definedName name="_8">リスト!$AD$216:$AD$246</definedName>
    <definedName name="_9">リスト!$AD$247:$AD$276</definedName>
    <definedName name="_xlnm._FilterDatabase" localSheetId="7" hidden="1">リスト!$A$2:$AK$2</definedName>
    <definedName name="構造又は用途_器具及び備品">リスト!$G$30:$G$41</definedName>
    <definedName name="構造又は用途_建物">リスト!$G$3:$G$10</definedName>
    <definedName name="構造又は用途_建物附属設備">リスト!$G$11:$G$20</definedName>
    <definedName name="構造又は用途_工具">リスト!$G$21:$G$29</definedName>
    <definedName name="細目_建物_鉄骨鉄筋コンクリート造又は鉄筋コンクリート造のもの">リスト!$L$3:$L$17</definedName>
    <definedName name="種類・設備の種類_ソフトウェア">リスト!$D$67:$D$68</definedName>
    <definedName name="種類・設備の種類_機械・装置・器具・備品・工具">リスト!$D$6:$D$66</definedName>
    <definedName name="種類・設備の種類_建物・建物付属設備">リスト!$D$3:$D$5</definedName>
    <definedName name="種類・設備の種類_無体財産権">リスト!$D$69:$D$80</definedName>
    <definedName name="類型・種類_機械・装置・器具・備品・工具">リスト!$V$3:$V$18</definedName>
    <definedName name="類型・種類_無体財産権">リスト!$V$19:$V$23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S25" i="5" l="1"/>
  <c r="DR25" i="5"/>
  <c r="DQ25" i="5"/>
  <c r="DP25" i="5"/>
  <c r="DO25" i="5"/>
  <c r="DN25" i="5"/>
  <c r="DM25" i="5"/>
  <c r="DL25" i="5"/>
  <c r="DK25" i="5"/>
  <c r="DJ25" i="5"/>
  <c r="DI25" i="5"/>
  <c r="DH25" i="5"/>
  <c r="DG25" i="5"/>
  <c r="DF25" i="5"/>
  <c r="DE25" i="5"/>
  <c r="DD25" i="5"/>
  <c r="DC25" i="5"/>
  <c r="DB25" i="5"/>
  <c r="DA25" i="5"/>
  <c r="CZ25" i="5"/>
  <c r="DS24" i="5"/>
  <c r="DR24" i="5"/>
  <c r="DQ24" i="5"/>
  <c r="DP24" i="5"/>
  <c r="DO24" i="5"/>
  <c r="DN24" i="5"/>
  <c r="DM24" i="5"/>
  <c r="DL24" i="5"/>
  <c r="DK24" i="5"/>
  <c r="DJ24" i="5"/>
  <c r="DI24" i="5"/>
  <c r="DH24" i="5"/>
  <c r="DG24" i="5"/>
  <c r="DF24" i="5"/>
  <c r="DE24" i="5"/>
  <c r="DD24" i="5"/>
  <c r="DC24" i="5"/>
  <c r="DB24" i="5"/>
  <c r="DA24" i="5"/>
  <c r="CZ24" i="5"/>
  <c r="DS23" i="5"/>
  <c r="DR23" i="5"/>
  <c r="DQ23" i="5"/>
  <c r="DP23" i="5"/>
  <c r="DO23" i="5"/>
  <c r="DN23" i="5"/>
  <c r="DM23" i="5"/>
  <c r="DL23" i="5"/>
  <c r="DK23" i="5"/>
  <c r="DJ23" i="5"/>
  <c r="DI23" i="5"/>
  <c r="DH23" i="5"/>
  <c r="DG23" i="5"/>
  <c r="DF23" i="5"/>
  <c r="DE23" i="5"/>
  <c r="DD23" i="5"/>
  <c r="DC23" i="5"/>
  <c r="DB23" i="5"/>
  <c r="DA23" i="5"/>
  <c r="CZ23" i="5"/>
  <c r="DS22" i="5"/>
  <c r="DR22" i="5"/>
  <c r="DQ22" i="5"/>
  <c r="DP22" i="5"/>
  <c r="DO22" i="5"/>
  <c r="DN22" i="5"/>
  <c r="DM22" i="5"/>
  <c r="DL22" i="5"/>
  <c r="DK22" i="5"/>
  <c r="DJ22" i="5"/>
  <c r="DI22" i="5"/>
  <c r="DH22" i="5"/>
  <c r="DG22" i="5"/>
  <c r="DF22" i="5"/>
  <c r="DE22" i="5"/>
  <c r="DD22" i="5"/>
  <c r="DC22" i="5"/>
  <c r="DB22" i="5"/>
  <c r="DA22" i="5"/>
  <c r="CZ22" i="5"/>
  <c r="DS21" i="5"/>
  <c r="DR21" i="5"/>
  <c r="DQ21" i="5"/>
  <c r="DP21" i="5"/>
  <c r="DO21" i="5"/>
  <c r="DN21" i="5"/>
  <c r="DM21" i="5"/>
  <c r="DL21" i="5"/>
  <c r="DK21" i="5"/>
  <c r="DJ21" i="5"/>
  <c r="DI21" i="5"/>
  <c r="DH21" i="5"/>
  <c r="DG21" i="5"/>
  <c r="DF21" i="5"/>
  <c r="DE21" i="5"/>
  <c r="DD21" i="5"/>
  <c r="DC21" i="5"/>
  <c r="DB21" i="5"/>
  <c r="DA21" i="5"/>
  <c r="CZ21" i="5"/>
  <c r="DS20" i="5"/>
  <c r="DR20" i="5"/>
  <c r="DQ20" i="5"/>
  <c r="DP20" i="5"/>
  <c r="DO20" i="5"/>
  <c r="DN20" i="5"/>
  <c r="DM20" i="5"/>
  <c r="DL20" i="5"/>
  <c r="DK20" i="5"/>
  <c r="DJ20" i="5"/>
  <c r="DI20" i="5"/>
  <c r="DH20" i="5"/>
  <c r="DG20" i="5"/>
  <c r="DF20" i="5"/>
  <c r="DE20" i="5"/>
  <c r="DD20" i="5"/>
  <c r="DC20" i="5"/>
  <c r="DB20" i="5"/>
  <c r="DA20" i="5"/>
  <c r="CZ20" i="5"/>
  <c r="DS19" i="5"/>
  <c r="DR19" i="5"/>
  <c r="DQ19" i="5"/>
  <c r="DP19" i="5"/>
  <c r="DO19" i="5"/>
  <c r="DN19" i="5"/>
  <c r="DM19" i="5"/>
  <c r="DL19" i="5"/>
  <c r="DK19" i="5"/>
  <c r="DJ19" i="5"/>
  <c r="DI19" i="5"/>
  <c r="DH19" i="5"/>
  <c r="DG19" i="5"/>
  <c r="DF19" i="5"/>
  <c r="DE19" i="5"/>
  <c r="DD19" i="5"/>
  <c r="DC19" i="5"/>
  <c r="DB19" i="5"/>
  <c r="DA19" i="5"/>
  <c r="CZ19" i="5"/>
  <c r="DS18" i="5"/>
  <c r="DR18" i="5"/>
  <c r="DQ18" i="5"/>
  <c r="DP18" i="5"/>
  <c r="DO18" i="5"/>
  <c r="DN18" i="5"/>
  <c r="DM18" i="5"/>
  <c r="DL18" i="5"/>
  <c r="DK18" i="5"/>
  <c r="DJ18" i="5"/>
  <c r="DI18" i="5"/>
  <c r="DH18" i="5"/>
  <c r="DG18" i="5"/>
  <c r="DF18" i="5"/>
  <c r="DE18" i="5"/>
  <c r="DD18" i="5"/>
  <c r="DC18" i="5"/>
  <c r="DB18" i="5"/>
  <c r="DA18" i="5"/>
  <c r="CZ18" i="5"/>
  <c r="DS17" i="5"/>
  <c r="DR17" i="5"/>
  <c r="DQ17" i="5"/>
  <c r="DP17" i="5"/>
  <c r="DO17" i="5"/>
  <c r="DN17" i="5"/>
  <c r="DM17" i="5"/>
  <c r="DL17" i="5"/>
  <c r="DK17" i="5"/>
  <c r="DJ17" i="5"/>
  <c r="DI17" i="5"/>
  <c r="DH17" i="5"/>
  <c r="DG17" i="5"/>
  <c r="DF17" i="5"/>
  <c r="DE17" i="5"/>
  <c r="DD17" i="5"/>
  <c r="DC17" i="5"/>
  <c r="DB17" i="5"/>
  <c r="DA17" i="5"/>
  <c r="CZ17" i="5"/>
  <c r="DS16" i="5"/>
  <c r="DR16" i="5"/>
  <c r="DQ16" i="5"/>
  <c r="DP16" i="5"/>
  <c r="DO16" i="5"/>
  <c r="DN16" i="5"/>
  <c r="DM16" i="5"/>
  <c r="DL16" i="5"/>
  <c r="DK16" i="5"/>
  <c r="DJ16" i="5"/>
  <c r="DI16" i="5"/>
  <c r="DH16" i="5"/>
  <c r="DG16" i="5"/>
  <c r="DF16" i="5"/>
  <c r="DE16" i="5"/>
  <c r="DD16" i="5"/>
  <c r="DC16" i="5"/>
  <c r="DB16" i="5"/>
  <c r="DA16" i="5"/>
  <c r="CZ16" i="5"/>
  <c r="DS15" i="5"/>
  <c r="DR15" i="5"/>
  <c r="DQ15" i="5"/>
  <c r="DP15" i="5"/>
  <c r="DO15" i="5"/>
  <c r="DN15" i="5"/>
  <c r="DM15" i="5"/>
  <c r="DL15" i="5"/>
  <c r="DK15" i="5"/>
  <c r="DJ15" i="5"/>
  <c r="DI15" i="5"/>
  <c r="DH15" i="5"/>
  <c r="DG15" i="5"/>
  <c r="DF15" i="5"/>
  <c r="DE15" i="5"/>
  <c r="DD15" i="5"/>
  <c r="DC15" i="5"/>
  <c r="DB15" i="5"/>
  <c r="DA15" i="5"/>
  <c r="CZ15" i="5"/>
  <c r="DS14" i="5"/>
  <c r="DR14" i="5"/>
  <c r="DQ14" i="5"/>
  <c r="DP14" i="5"/>
  <c r="DO14" i="5"/>
  <c r="DN14" i="5"/>
  <c r="DM14" i="5"/>
  <c r="DL14" i="5"/>
  <c r="DK14" i="5"/>
  <c r="DJ14" i="5"/>
  <c r="DI14" i="5"/>
  <c r="DH14" i="5"/>
  <c r="DG14" i="5"/>
  <c r="DF14" i="5"/>
  <c r="DE14" i="5"/>
  <c r="DD14" i="5"/>
  <c r="DC14" i="5"/>
  <c r="DB14" i="5"/>
  <c r="DA14" i="5"/>
  <c r="CZ14" i="5"/>
  <c r="DS13" i="5"/>
  <c r="DR13" i="5"/>
  <c r="DQ13" i="5"/>
  <c r="DP13" i="5"/>
  <c r="DO13" i="5"/>
  <c r="DN13" i="5"/>
  <c r="DM13" i="5"/>
  <c r="DL13" i="5"/>
  <c r="DK13" i="5"/>
  <c r="DJ13" i="5"/>
  <c r="DI13" i="5"/>
  <c r="DH13" i="5"/>
  <c r="DG13" i="5"/>
  <c r="DF13" i="5"/>
  <c r="DE13" i="5"/>
  <c r="DD13" i="5"/>
  <c r="DC13" i="5"/>
  <c r="DB13" i="5"/>
  <c r="DA13" i="5"/>
  <c r="CZ13" i="5"/>
  <c r="DS12" i="5"/>
  <c r="DR12" i="5"/>
  <c r="DQ12" i="5"/>
  <c r="DP12" i="5"/>
  <c r="DO12" i="5"/>
  <c r="DN12" i="5"/>
  <c r="DM12" i="5"/>
  <c r="DL12" i="5"/>
  <c r="DK12" i="5"/>
  <c r="DJ12" i="5"/>
  <c r="DI12" i="5"/>
  <c r="DH12" i="5"/>
  <c r="DG12" i="5"/>
  <c r="DF12" i="5"/>
  <c r="DE12" i="5"/>
  <c r="DD12" i="5"/>
  <c r="DC12" i="5"/>
  <c r="DB12" i="5"/>
  <c r="DA12" i="5"/>
  <c r="CZ12" i="5"/>
  <c r="DS11" i="5"/>
  <c r="DR11" i="5"/>
  <c r="DQ11" i="5"/>
  <c r="DP11" i="5"/>
  <c r="DO11" i="5"/>
  <c r="DN11" i="5"/>
  <c r="DM11" i="5"/>
  <c r="DL11" i="5"/>
  <c r="DK11" i="5"/>
  <c r="DJ11" i="5"/>
  <c r="DI11" i="5"/>
  <c r="DH11" i="5"/>
  <c r="DG11" i="5"/>
  <c r="DF11" i="5"/>
  <c r="DE11" i="5"/>
  <c r="DD11" i="5"/>
  <c r="DC11" i="5"/>
  <c r="DB11" i="5"/>
  <c r="DA11" i="5"/>
  <c r="CZ11" i="5"/>
  <c r="DS10" i="5"/>
  <c r="DR10" i="5"/>
  <c r="DQ10" i="5"/>
  <c r="DP10" i="5"/>
  <c r="DO10" i="5"/>
  <c r="DN10" i="5"/>
  <c r="DM10" i="5"/>
  <c r="DL10" i="5"/>
  <c r="DK10" i="5"/>
  <c r="DJ10" i="5"/>
  <c r="DI10" i="5"/>
  <c r="DH10" i="5"/>
  <c r="DG10" i="5"/>
  <c r="DF10" i="5"/>
  <c r="DE10" i="5"/>
  <c r="DD10" i="5"/>
  <c r="DC10" i="5"/>
  <c r="DB10" i="5"/>
  <c r="DA10" i="5"/>
  <c r="CZ10" i="5"/>
  <c r="DS9" i="5"/>
  <c r="DR9" i="5"/>
  <c r="DQ9" i="5"/>
  <c r="DP9" i="5"/>
  <c r="DO9" i="5"/>
  <c r="DN9" i="5"/>
  <c r="DM9" i="5"/>
  <c r="DL9" i="5"/>
  <c r="DK9" i="5"/>
  <c r="DJ9" i="5"/>
  <c r="DI9" i="5"/>
  <c r="DH9" i="5"/>
  <c r="DG9" i="5"/>
  <c r="DF9" i="5"/>
  <c r="DE9" i="5"/>
  <c r="DD9" i="5"/>
  <c r="DC9" i="5"/>
  <c r="DB9" i="5"/>
  <c r="DA9" i="5"/>
  <c r="CZ9" i="5"/>
  <c r="DS8" i="5"/>
  <c r="DR8" i="5"/>
  <c r="DQ8" i="5"/>
  <c r="DP8" i="5"/>
  <c r="DO8" i="5"/>
  <c r="DN8" i="5"/>
  <c r="DM8" i="5"/>
  <c r="DL8" i="5"/>
  <c r="DK8" i="5"/>
  <c r="DJ8" i="5"/>
  <c r="DI8" i="5"/>
  <c r="DH8" i="5"/>
  <c r="DG8" i="5"/>
  <c r="DF8" i="5"/>
  <c r="DE8" i="5"/>
  <c r="DD8" i="5"/>
  <c r="DC8" i="5"/>
  <c r="DB8" i="5"/>
  <c r="DA8" i="5"/>
  <c r="CZ8" i="5"/>
  <c r="DS7" i="5"/>
  <c r="DR7" i="5"/>
  <c r="DQ7" i="5"/>
  <c r="DP7" i="5"/>
  <c r="DO7" i="5"/>
  <c r="DN7" i="5"/>
  <c r="DM7" i="5"/>
  <c r="DL7" i="5"/>
  <c r="DK7" i="5"/>
  <c r="DJ7" i="5"/>
  <c r="DI7" i="5"/>
  <c r="DH7" i="5"/>
  <c r="DG7" i="5"/>
  <c r="DF7" i="5"/>
  <c r="DE7" i="5"/>
  <c r="DD7" i="5"/>
  <c r="DC7" i="5"/>
  <c r="DB7" i="5"/>
  <c r="DA7" i="5"/>
  <c r="CZ7" i="5"/>
  <c r="DS6" i="5"/>
  <c r="DR6" i="5"/>
  <c r="DQ6" i="5"/>
  <c r="DP6" i="5"/>
  <c r="DO6" i="5"/>
  <c r="DN6" i="5"/>
  <c r="DM6" i="5"/>
  <c r="DL6" i="5"/>
  <c r="DK6" i="5"/>
  <c r="DJ6" i="5"/>
  <c r="DI6" i="5"/>
  <c r="DH6" i="5"/>
  <c r="DG6" i="5"/>
  <c r="DF6" i="5"/>
  <c r="DE6" i="5"/>
  <c r="DD6" i="5"/>
  <c r="DC6" i="5"/>
  <c r="DB6" i="5"/>
  <c r="DA6" i="5"/>
  <c r="CZ6" i="5"/>
  <c r="CY25" i="5"/>
  <c r="CX25" i="5"/>
  <c r="CW25" i="5"/>
  <c r="CV25" i="5"/>
  <c r="CU25" i="5"/>
  <c r="CT25" i="5"/>
  <c r="CS25" i="5"/>
  <c r="CR25" i="5"/>
  <c r="CQ25" i="5"/>
  <c r="CP25" i="5"/>
  <c r="CO25" i="5"/>
  <c r="CN25" i="5"/>
  <c r="CM25" i="5"/>
  <c r="CL25" i="5"/>
  <c r="CK25" i="5"/>
  <c r="CJ25" i="5"/>
  <c r="CI25" i="5"/>
  <c r="CH25" i="5"/>
  <c r="CG25" i="5"/>
  <c r="CF25" i="5"/>
  <c r="CY24" i="5"/>
  <c r="CX24" i="5"/>
  <c r="CW24" i="5"/>
  <c r="CV24" i="5"/>
  <c r="CU24" i="5"/>
  <c r="CT24" i="5"/>
  <c r="CS24" i="5"/>
  <c r="CR24" i="5"/>
  <c r="CQ24" i="5"/>
  <c r="CP24" i="5"/>
  <c r="CO24" i="5"/>
  <c r="CN24" i="5"/>
  <c r="CM24" i="5"/>
  <c r="CL24" i="5"/>
  <c r="CK24" i="5"/>
  <c r="CJ24" i="5"/>
  <c r="CI24" i="5"/>
  <c r="CH24" i="5"/>
  <c r="CG24" i="5"/>
  <c r="CF24" i="5"/>
  <c r="CY23" i="5"/>
  <c r="CX23" i="5"/>
  <c r="CW23" i="5"/>
  <c r="CV23" i="5"/>
  <c r="CU23" i="5"/>
  <c r="CT23" i="5"/>
  <c r="CS23" i="5"/>
  <c r="CR23" i="5"/>
  <c r="CQ23" i="5"/>
  <c r="CP23" i="5"/>
  <c r="CO23" i="5"/>
  <c r="CN23" i="5"/>
  <c r="CM23" i="5"/>
  <c r="CL23" i="5"/>
  <c r="CK23" i="5"/>
  <c r="CJ23" i="5"/>
  <c r="CI23" i="5"/>
  <c r="CH23" i="5"/>
  <c r="CG23" i="5"/>
  <c r="CF23" i="5"/>
  <c r="CY22" i="5"/>
  <c r="CX22" i="5"/>
  <c r="CW22" i="5"/>
  <c r="CV22" i="5"/>
  <c r="CU22" i="5"/>
  <c r="CT22" i="5"/>
  <c r="CS22" i="5"/>
  <c r="CR22" i="5"/>
  <c r="CQ22" i="5"/>
  <c r="CP22" i="5"/>
  <c r="CO22" i="5"/>
  <c r="CN22" i="5"/>
  <c r="CM22" i="5"/>
  <c r="CL22" i="5"/>
  <c r="CK22" i="5"/>
  <c r="CJ22" i="5"/>
  <c r="CI22" i="5"/>
  <c r="CH22" i="5"/>
  <c r="CG22" i="5"/>
  <c r="CF22" i="5"/>
  <c r="CY21" i="5"/>
  <c r="CX21" i="5"/>
  <c r="CW21" i="5"/>
  <c r="CV21" i="5"/>
  <c r="CU21" i="5"/>
  <c r="CT21" i="5"/>
  <c r="CS21" i="5"/>
  <c r="CR21" i="5"/>
  <c r="CQ21" i="5"/>
  <c r="CP21" i="5"/>
  <c r="CO21" i="5"/>
  <c r="CN21" i="5"/>
  <c r="CM21" i="5"/>
  <c r="CL21" i="5"/>
  <c r="CK21" i="5"/>
  <c r="CJ21" i="5"/>
  <c r="CI21" i="5"/>
  <c r="CH21" i="5"/>
  <c r="CG21" i="5"/>
  <c r="CF21" i="5"/>
  <c r="CY20" i="5"/>
  <c r="CX20" i="5"/>
  <c r="CW20" i="5"/>
  <c r="CV20" i="5"/>
  <c r="CU20" i="5"/>
  <c r="CT20" i="5"/>
  <c r="CS20" i="5"/>
  <c r="CR20" i="5"/>
  <c r="CQ20" i="5"/>
  <c r="CP20" i="5"/>
  <c r="CO20" i="5"/>
  <c r="CN20" i="5"/>
  <c r="CM20" i="5"/>
  <c r="CL20" i="5"/>
  <c r="CK20" i="5"/>
  <c r="CJ20" i="5"/>
  <c r="CI20" i="5"/>
  <c r="CH20" i="5"/>
  <c r="CG20" i="5"/>
  <c r="CF20" i="5"/>
  <c r="CY19" i="5"/>
  <c r="CX19" i="5"/>
  <c r="CW19" i="5"/>
  <c r="CV19" i="5"/>
  <c r="CU19" i="5"/>
  <c r="CT19" i="5"/>
  <c r="CS19" i="5"/>
  <c r="CR19" i="5"/>
  <c r="CQ19" i="5"/>
  <c r="CP19" i="5"/>
  <c r="CO19" i="5"/>
  <c r="CN19" i="5"/>
  <c r="CM19" i="5"/>
  <c r="CL19" i="5"/>
  <c r="CK19" i="5"/>
  <c r="CJ19" i="5"/>
  <c r="CI19" i="5"/>
  <c r="CH19" i="5"/>
  <c r="CG19" i="5"/>
  <c r="CF19" i="5"/>
  <c r="CY18" i="5"/>
  <c r="CX18" i="5"/>
  <c r="CW18" i="5"/>
  <c r="CV18" i="5"/>
  <c r="CU18" i="5"/>
  <c r="CT18" i="5"/>
  <c r="CS18" i="5"/>
  <c r="CR18" i="5"/>
  <c r="CQ18" i="5"/>
  <c r="CP18" i="5"/>
  <c r="CO18" i="5"/>
  <c r="CN18" i="5"/>
  <c r="CM18" i="5"/>
  <c r="CL18" i="5"/>
  <c r="CK18" i="5"/>
  <c r="CJ18" i="5"/>
  <c r="CI18" i="5"/>
  <c r="CH18" i="5"/>
  <c r="CG18" i="5"/>
  <c r="CF18" i="5"/>
  <c r="CY17" i="5"/>
  <c r="CX17" i="5"/>
  <c r="CW17" i="5"/>
  <c r="CV17" i="5"/>
  <c r="CU17" i="5"/>
  <c r="CT17" i="5"/>
  <c r="CS17" i="5"/>
  <c r="CR17" i="5"/>
  <c r="CQ17" i="5"/>
  <c r="CP17" i="5"/>
  <c r="CO17" i="5"/>
  <c r="CN17" i="5"/>
  <c r="CM17" i="5"/>
  <c r="CL17" i="5"/>
  <c r="CK17" i="5"/>
  <c r="CJ17" i="5"/>
  <c r="CI17" i="5"/>
  <c r="CH17" i="5"/>
  <c r="CG17" i="5"/>
  <c r="CF17" i="5"/>
  <c r="CY16" i="5"/>
  <c r="CX16" i="5"/>
  <c r="CW16" i="5"/>
  <c r="CV16" i="5"/>
  <c r="CU16" i="5"/>
  <c r="CT16" i="5"/>
  <c r="CS16" i="5"/>
  <c r="CR16" i="5"/>
  <c r="CQ16" i="5"/>
  <c r="CP16" i="5"/>
  <c r="CO16" i="5"/>
  <c r="CN16" i="5"/>
  <c r="CM16" i="5"/>
  <c r="CL16" i="5"/>
  <c r="CK16" i="5"/>
  <c r="CJ16" i="5"/>
  <c r="CI16" i="5"/>
  <c r="CH16" i="5"/>
  <c r="CG16" i="5"/>
  <c r="CF16" i="5"/>
  <c r="CY15" i="5"/>
  <c r="CX15" i="5"/>
  <c r="CW15" i="5"/>
  <c r="CV15" i="5"/>
  <c r="CU15" i="5"/>
  <c r="CT15" i="5"/>
  <c r="CS15" i="5"/>
  <c r="CR15" i="5"/>
  <c r="CQ15" i="5"/>
  <c r="CP15" i="5"/>
  <c r="CO15" i="5"/>
  <c r="CN15" i="5"/>
  <c r="CM15" i="5"/>
  <c r="CL15" i="5"/>
  <c r="CK15" i="5"/>
  <c r="CJ15" i="5"/>
  <c r="CI15" i="5"/>
  <c r="CH15" i="5"/>
  <c r="CG15" i="5"/>
  <c r="CF15" i="5"/>
  <c r="CY14" i="5"/>
  <c r="CX14" i="5"/>
  <c r="CW14" i="5"/>
  <c r="CV14" i="5"/>
  <c r="CU14" i="5"/>
  <c r="CT14" i="5"/>
  <c r="CS14" i="5"/>
  <c r="CR14" i="5"/>
  <c r="CQ14" i="5"/>
  <c r="CP14" i="5"/>
  <c r="CO14" i="5"/>
  <c r="CN14" i="5"/>
  <c r="CM14" i="5"/>
  <c r="CL14" i="5"/>
  <c r="CK14" i="5"/>
  <c r="CJ14" i="5"/>
  <c r="CI14" i="5"/>
  <c r="CH14" i="5"/>
  <c r="CG14" i="5"/>
  <c r="CF14" i="5"/>
  <c r="CY13" i="5"/>
  <c r="CX13" i="5"/>
  <c r="CW13" i="5"/>
  <c r="CV13" i="5"/>
  <c r="CU13" i="5"/>
  <c r="CT13" i="5"/>
  <c r="CS13" i="5"/>
  <c r="CR13" i="5"/>
  <c r="CQ13" i="5"/>
  <c r="CP13" i="5"/>
  <c r="CO13" i="5"/>
  <c r="CN13" i="5"/>
  <c r="CM13" i="5"/>
  <c r="CL13" i="5"/>
  <c r="CK13" i="5"/>
  <c r="CJ13" i="5"/>
  <c r="CI13" i="5"/>
  <c r="CH13" i="5"/>
  <c r="CG13" i="5"/>
  <c r="CF13" i="5"/>
  <c r="CY12" i="5"/>
  <c r="CX12" i="5"/>
  <c r="CW12" i="5"/>
  <c r="CV12" i="5"/>
  <c r="CU12" i="5"/>
  <c r="CT12" i="5"/>
  <c r="CS12" i="5"/>
  <c r="CR12" i="5"/>
  <c r="CQ12" i="5"/>
  <c r="CP12" i="5"/>
  <c r="CO12" i="5"/>
  <c r="CN12" i="5"/>
  <c r="CM12" i="5"/>
  <c r="CL12" i="5"/>
  <c r="CK12" i="5"/>
  <c r="CJ12" i="5"/>
  <c r="CI12" i="5"/>
  <c r="CH12" i="5"/>
  <c r="CG12" i="5"/>
  <c r="CF12" i="5"/>
  <c r="CY11" i="5"/>
  <c r="CX11" i="5"/>
  <c r="CW11" i="5"/>
  <c r="CV11" i="5"/>
  <c r="CU11" i="5"/>
  <c r="CT11" i="5"/>
  <c r="CS11" i="5"/>
  <c r="CR11" i="5"/>
  <c r="CQ11" i="5"/>
  <c r="CP11" i="5"/>
  <c r="CO11" i="5"/>
  <c r="CN11" i="5"/>
  <c r="CM11" i="5"/>
  <c r="CL11" i="5"/>
  <c r="CK11" i="5"/>
  <c r="CJ11" i="5"/>
  <c r="CI11" i="5"/>
  <c r="CH11" i="5"/>
  <c r="CG11" i="5"/>
  <c r="CF11" i="5"/>
  <c r="CY10" i="5"/>
  <c r="CX10" i="5"/>
  <c r="CW10" i="5"/>
  <c r="CV10" i="5"/>
  <c r="CU10" i="5"/>
  <c r="CT10" i="5"/>
  <c r="CS10" i="5"/>
  <c r="CR10" i="5"/>
  <c r="CQ10" i="5"/>
  <c r="CP10" i="5"/>
  <c r="CO10" i="5"/>
  <c r="CN10" i="5"/>
  <c r="CM10" i="5"/>
  <c r="CL10" i="5"/>
  <c r="CK10" i="5"/>
  <c r="CJ10" i="5"/>
  <c r="CI10" i="5"/>
  <c r="CH10" i="5"/>
  <c r="CG10" i="5"/>
  <c r="CF10" i="5"/>
  <c r="CY9" i="5"/>
  <c r="CX9" i="5"/>
  <c r="CW9" i="5"/>
  <c r="CV9" i="5"/>
  <c r="CU9" i="5"/>
  <c r="CT9" i="5"/>
  <c r="CS9" i="5"/>
  <c r="CR9" i="5"/>
  <c r="CQ9" i="5"/>
  <c r="CP9" i="5"/>
  <c r="CO9" i="5"/>
  <c r="CN9" i="5"/>
  <c r="CM9" i="5"/>
  <c r="CL9" i="5"/>
  <c r="CK9" i="5"/>
  <c r="CJ9" i="5"/>
  <c r="CI9" i="5"/>
  <c r="CH9" i="5"/>
  <c r="CG9" i="5"/>
  <c r="CF9" i="5"/>
  <c r="CY8" i="5"/>
  <c r="CX8" i="5"/>
  <c r="CW8" i="5"/>
  <c r="CV8" i="5"/>
  <c r="CU8" i="5"/>
  <c r="CT8" i="5"/>
  <c r="CS8" i="5"/>
  <c r="CR8" i="5"/>
  <c r="CQ8" i="5"/>
  <c r="CP8" i="5"/>
  <c r="CO8" i="5"/>
  <c r="CN8" i="5"/>
  <c r="CM8" i="5"/>
  <c r="CL8" i="5"/>
  <c r="CK8" i="5"/>
  <c r="CJ8" i="5"/>
  <c r="CI8" i="5"/>
  <c r="CH8" i="5"/>
  <c r="CG8" i="5"/>
  <c r="CF8" i="5"/>
  <c r="CY7" i="5"/>
  <c r="CX7" i="5"/>
  <c r="CW7" i="5"/>
  <c r="CV7" i="5"/>
  <c r="CU7" i="5"/>
  <c r="CT7" i="5"/>
  <c r="CS7" i="5"/>
  <c r="CR7" i="5"/>
  <c r="CQ7" i="5"/>
  <c r="CP7" i="5"/>
  <c r="CO7" i="5"/>
  <c r="CN7" i="5"/>
  <c r="CM7" i="5"/>
  <c r="CL7" i="5"/>
  <c r="CK7" i="5"/>
  <c r="CJ7" i="5"/>
  <c r="CI7" i="5"/>
  <c r="CH7" i="5"/>
  <c r="CG7" i="5"/>
  <c r="CF7" i="5"/>
  <c r="CY6" i="5"/>
  <c r="CX6" i="5"/>
  <c r="CW6" i="5"/>
  <c r="CV6" i="5"/>
  <c r="CU6" i="5"/>
  <c r="CT6" i="5"/>
  <c r="CS6" i="5"/>
  <c r="CR6" i="5"/>
  <c r="CQ6" i="5"/>
  <c r="CP6" i="5"/>
  <c r="CO6" i="5"/>
  <c r="CN6" i="5"/>
  <c r="CM6" i="5"/>
  <c r="CL6" i="5"/>
  <c r="CK6" i="5"/>
  <c r="CJ6" i="5"/>
  <c r="CI6" i="5"/>
  <c r="CH6" i="5"/>
  <c r="CG6" i="5"/>
  <c r="CF6" i="5"/>
  <c r="CE25" i="5"/>
  <c r="CD25" i="5"/>
  <c r="CC25" i="5"/>
  <c r="CB25" i="5"/>
  <c r="CA25" i="5"/>
  <c r="BZ25" i="5"/>
  <c r="BY25" i="5"/>
  <c r="BX25" i="5"/>
  <c r="BW25" i="5"/>
  <c r="BV25" i="5"/>
  <c r="BU25" i="5"/>
  <c r="BT25" i="5"/>
  <c r="BS25" i="5"/>
  <c r="BR25" i="5"/>
  <c r="BQ25" i="5"/>
  <c r="BP25" i="5"/>
  <c r="BO25" i="5"/>
  <c r="BN25" i="5"/>
  <c r="BM25" i="5"/>
  <c r="BL25" i="5"/>
  <c r="CE24" i="5"/>
  <c r="CD24" i="5"/>
  <c r="CC24" i="5"/>
  <c r="CB24" i="5"/>
  <c r="CA24" i="5"/>
  <c r="BZ24" i="5"/>
  <c r="BY24" i="5"/>
  <c r="BX24" i="5"/>
  <c r="BW24" i="5"/>
  <c r="BV24" i="5"/>
  <c r="BU24" i="5"/>
  <c r="BT24" i="5"/>
  <c r="BS24" i="5"/>
  <c r="BR24" i="5"/>
  <c r="BQ24" i="5"/>
  <c r="BP24" i="5"/>
  <c r="BO24" i="5"/>
  <c r="BN24" i="5"/>
  <c r="BM24" i="5"/>
  <c r="BL24" i="5"/>
  <c r="CE23" i="5"/>
  <c r="CD23" i="5"/>
  <c r="CC23" i="5"/>
  <c r="CB23" i="5"/>
  <c r="CA23" i="5"/>
  <c r="BZ23" i="5"/>
  <c r="BY23" i="5"/>
  <c r="BX23" i="5"/>
  <c r="BW23" i="5"/>
  <c r="BV23" i="5"/>
  <c r="BU23" i="5"/>
  <c r="BT23" i="5"/>
  <c r="BS23" i="5"/>
  <c r="BR23" i="5"/>
  <c r="BQ23" i="5"/>
  <c r="BP23" i="5"/>
  <c r="BO23" i="5"/>
  <c r="BN23" i="5"/>
  <c r="BM23" i="5"/>
  <c r="BL23" i="5"/>
  <c r="CE22" i="5"/>
  <c r="CD22" i="5"/>
  <c r="CC22" i="5"/>
  <c r="CB22" i="5"/>
  <c r="CA22" i="5"/>
  <c r="BZ22" i="5"/>
  <c r="BY22" i="5"/>
  <c r="BX22" i="5"/>
  <c r="BW22" i="5"/>
  <c r="BV22" i="5"/>
  <c r="BU22" i="5"/>
  <c r="BT22" i="5"/>
  <c r="BS22" i="5"/>
  <c r="BR22" i="5"/>
  <c r="BQ22" i="5"/>
  <c r="BP22" i="5"/>
  <c r="BO22" i="5"/>
  <c r="BN22" i="5"/>
  <c r="BM22" i="5"/>
  <c r="BL22" i="5"/>
  <c r="CE21" i="5"/>
  <c r="CD21" i="5"/>
  <c r="CC21" i="5"/>
  <c r="CB21" i="5"/>
  <c r="CA21" i="5"/>
  <c r="BZ21" i="5"/>
  <c r="BY21" i="5"/>
  <c r="BX21" i="5"/>
  <c r="BW21" i="5"/>
  <c r="BV21" i="5"/>
  <c r="BU21" i="5"/>
  <c r="BT21" i="5"/>
  <c r="BS21" i="5"/>
  <c r="BR21" i="5"/>
  <c r="BQ21" i="5"/>
  <c r="BP21" i="5"/>
  <c r="BO21" i="5"/>
  <c r="BN21" i="5"/>
  <c r="BM21" i="5"/>
  <c r="BL21" i="5"/>
  <c r="CE20" i="5"/>
  <c r="CD20" i="5"/>
  <c r="CC20" i="5"/>
  <c r="CB20" i="5"/>
  <c r="CA20" i="5"/>
  <c r="BZ20" i="5"/>
  <c r="BY20" i="5"/>
  <c r="BX20" i="5"/>
  <c r="BW20" i="5"/>
  <c r="BV20" i="5"/>
  <c r="BU20" i="5"/>
  <c r="BT20" i="5"/>
  <c r="BS20" i="5"/>
  <c r="BR20" i="5"/>
  <c r="BQ20" i="5"/>
  <c r="BP20" i="5"/>
  <c r="BO20" i="5"/>
  <c r="BN20" i="5"/>
  <c r="BM20" i="5"/>
  <c r="BL20" i="5"/>
  <c r="CE19" i="5"/>
  <c r="CD19" i="5"/>
  <c r="CC19" i="5"/>
  <c r="CB19" i="5"/>
  <c r="CA19" i="5"/>
  <c r="BZ19" i="5"/>
  <c r="BY19" i="5"/>
  <c r="BX19" i="5"/>
  <c r="BW19" i="5"/>
  <c r="BV19" i="5"/>
  <c r="BU19" i="5"/>
  <c r="BT19" i="5"/>
  <c r="BS19" i="5"/>
  <c r="BR19" i="5"/>
  <c r="BQ19" i="5"/>
  <c r="BP19" i="5"/>
  <c r="BO19" i="5"/>
  <c r="BN19" i="5"/>
  <c r="BM19" i="5"/>
  <c r="BL19" i="5"/>
  <c r="CE18" i="5"/>
  <c r="CD18" i="5"/>
  <c r="CC18" i="5"/>
  <c r="CB18" i="5"/>
  <c r="CA18" i="5"/>
  <c r="BZ18" i="5"/>
  <c r="BY18" i="5"/>
  <c r="BX18" i="5"/>
  <c r="BW18" i="5"/>
  <c r="BV18" i="5"/>
  <c r="BU18" i="5"/>
  <c r="BT18" i="5"/>
  <c r="BS18" i="5"/>
  <c r="BR18" i="5"/>
  <c r="BQ18" i="5"/>
  <c r="BP18" i="5"/>
  <c r="BO18" i="5"/>
  <c r="BN18" i="5"/>
  <c r="BM18" i="5"/>
  <c r="BL18" i="5"/>
  <c r="CE17" i="5"/>
  <c r="CD17" i="5"/>
  <c r="CC17" i="5"/>
  <c r="CB17" i="5"/>
  <c r="CA17" i="5"/>
  <c r="BZ17" i="5"/>
  <c r="BY17" i="5"/>
  <c r="BX17" i="5"/>
  <c r="BW17" i="5"/>
  <c r="BV17" i="5"/>
  <c r="BU17" i="5"/>
  <c r="BT17" i="5"/>
  <c r="BS17" i="5"/>
  <c r="BR17" i="5"/>
  <c r="BQ17" i="5"/>
  <c r="BP17" i="5"/>
  <c r="BO17" i="5"/>
  <c r="BN17" i="5"/>
  <c r="BM17" i="5"/>
  <c r="BL17" i="5"/>
  <c r="CE16" i="5"/>
  <c r="CD16" i="5"/>
  <c r="CC16" i="5"/>
  <c r="CB16" i="5"/>
  <c r="CA16" i="5"/>
  <c r="BZ16" i="5"/>
  <c r="BY16" i="5"/>
  <c r="BX16" i="5"/>
  <c r="BW16" i="5"/>
  <c r="BV16" i="5"/>
  <c r="BU16" i="5"/>
  <c r="BT16" i="5"/>
  <c r="BS16" i="5"/>
  <c r="BR16" i="5"/>
  <c r="BQ16" i="5"/>
  <c r="BP16" i="5"/>
  <c r="BO16" i="5"/>
  <c r="BN16" i="5"/>
  <c r="BM16" i="5"/>
  <c r="BL16" i="5"/>
  <c r="CE15" i="5"/>
  <c r="CD15" i="5"/>
  <c r="CC15" i="5"/>
  <c r="CB15" i="5"/>
  <c r="CA15" i="5"/>
  <c r="BZ15" i="5"/>
  <c r="BY15" i="5"/>
  <c r="BX15" i="5"/>
  <c r="BW15" i="5"/>
  <c r="BV15" i="5"/>
  <c r="BU15" i="5"/>
  <c r="BT15" i="5"/>
  <c r="BS15" i="5"/>
  <c r="BR15" i="5"/>
  <c r="BQ15" i="5"/>
  <c r="BP15" i="5"/>
  <c r="BO15" i="5"/>
  <c r="BN15" i="5"/>
  <c r="BM15" i="5"/>
  <c r="BL15" i="5"/>
  <c r="CE14" i="5"/>
  <c r="CD14" i="5"/>
  <c r="CC14" i="5"/>
  <c r="CB14" i="5"/>
  <c r="CA14" i="5"/>
  <c r="BZ14" i="5"/>
  <c r="BY14" i="5"/>
  <c r="BX14" i="5"/>
  <c r="BW14" i="5"/>
  <c r="BV14" i="5"/>
  <c r="BU14" i="5"/>
  <c r="BT14" i="5"/>
  <c r="BS14" i="5"/>
  <c r="BR14" i="5"/>
  <c r="BQ14" i="5"/>
  <c r="BP14" i="5"/>
  <c r="BO14" i="5"/>
  <c r="BN14" i="5"/>
  <c r="BM14" i="5"/>
  <c r="BL14" i="5"/>
  <c r="CE13" i="5"/>
  <c r="CD13" i="5"/>
  <c r="CC13" i="5"/>
  <c r="CB13" i="5"/>
  <c r="CA13" i="5"/>
  <c r="BZ13" i="5"/>
  <c r="BY13" i="5"/>
  <c r="BX13" i="5"/>
  <c r="BW13" i="5"/>
  <c r="BV13" i="5"/>
  <c r="BU13" i="5"/>
  <c r="BT13" i="5"/>
  <c r="BS13" i="5"/>
  <c r="BR13" i="5"/>
  <c r="BQ13" i="5"/>
  <c r="BP13" i="5"/>
  <c r="BO13" i="5"/>
  <c r="BN13" i="5"/>
  <c r="BM13" i="5"/>
  <c r="BL13" i="5"/>
  <c r="CE12" i="5"/>
  <c r="CD12" i="5"/>
  <c r="CC12" i="5"/>
  <c r="CB12" i="5"/>
  <c r="CA12" i="5"/>
  <c r="BZ12" i="5"/>
  <c r="BY12" i="5"/>
  <c r="BX12" i="5"/>
  <c r="BW12" i="5"/>
  <c r="BV12" i="5"/>
  <c r="BU12" i="5"/>
  <c r="BT12" i="5"/>
  <c r="BS12" i="5"/>
  <c r="BR12" i="5"/>
  <c r="BQ12" i="5"/>
  <c r="BP12" i="5"/>
  <c r="BO12" i="5"/>
  <c r="BN12" i="5"/>
  <c r="BM12" i="5"/>
  <c r="BL12" i="5"/>
  <c r="CE11" i="5"/>
  <c r="CD11" i="5"/>
  <c r="CC11" i="5"/>
  <c r="CB11" i="5"/>
  <c r="CA11" i="5"/>
  <c r="BZ11" i="5"/>
  <c r="BY11" i="5"/>
  <c r="BX11" i="5"/>
  <c r="BW11" i="5"/>
  <c r="BV11" i="5"/>
  <c r="BU11" i="5"/>
  <c r="BT11" i="5"/>
  <c r="BS11" i="5"/>
  <c r="BR11" i="5"/>
  <c r="BQ11" i="5"/>
  <c r="BP11" i="5"/>
  <c r="BO11" i="5"/>
  <c r="BN11" i="5"/>
  <c r="BM11" i="5"/>
  <c r="BL11" i="5"/>
  <c r="CE10" i="5"/>
  <c r="CD10" i="5"/>
  <c r="CC10" i="5"/>
  <c r="CB10" i="5"/>
  <c r="CA10" i="5"/>
  <c r="BZ10" i="5"/>
  <c r="BY10" i="5"/>
  <c r="BX10" i="5"/>
  <c r="BW10" i="5"/>
  <c r="BV10" i="5"/>
  <c r="BU10" i="5"/>
  <c r="BT10" i="5"/>
  <c r="BS10" i="5"/>
  <c r="BR10" i="5"/>
  <c r="BQ10" i="5"/>
  <c r="BP10" i="5"/>
  <c r="BO10" i="5"/>
  <c r="BN10" i="5"/>
  <c r="BM10" i="5"/>
  <c r="BL10" i="5"/>
  <c r="CE9" i="5"/>
  <c r="CD9" i="5"/>
  <c r="CC9" i="5"/>
  <c r="CB9" i="5"/>
  <c r="CA9" i="5"/>
  <c r="BZ9" i="5"/>
  <c r="BY9" i="5"/>
  <c r="BX9" i="5"/>
  <c r="BW9" i="5"/>
  <c r="BV9" i="5"/>
  <c r="BU9" i="5"/>
  <c r="BT9" i="5"/>
  <c r="BS9" i="5"/>
  <c r="BR9" i="5"/>
  <c r="BQ9" i="5"/>
  <c r="BP9" i="5"/>
  <c r="BO9" i="5"/>
  <c r="BN9" i="5"/>
  <c r="BM9" i="5"/>
  <c r="BL9" i="5"/>
  <c r="CE8" i="5"/>
  <c r="CD8" i="5"/>
  <c r="CC8" i="5"/>
  <c r="CB8" i="5"/>
  <c r="CA8" i="5"/>
  <c r="BZ8" i="5"/>
  <c r="BY8" i="5"/>
  <c r="BX8" i="5"/>
  <c r="BW8" i="5"/>
  <c r="BV8" i="5"/>
  <c r="BU8" i="5"/>
  <c r="BT8" i="5"/>
  <c r="BS8" i="5"/>
  <c r="BR8" i="5"/>
  <c r="BQ8" i="5"/>
  <c r="BP8" i="5"/>
  <c r="BO8" i="5"/>
  <c r="BN8" i="5"/>
  <c r="BM8" i="5"/>
  <c r="BL8" i="5"/>
  <c r="CE7" i="5"/>
  <c r="CD7" i="5"/>
  <c r="CC7" i="5"/>
  <c r="CB7" i="5"/>
  <c r="CA7" i="5"/>
  <c r="BZ7" i="5"/>
  <c r="BY7" i="5"/>
  <c r="BX7" i="5"/>
  <c r="BW7" i="5"/>
  <c r="BV7" i="5"/>
  <c r="BU7" i="5"/>
  <c r="BT7" i="5"/>
  <c r="BS7" i="5"/>
  <c r="BR7" i="5"/>
  <c r="BQ7" i="5"/>
  <c r="BP7" i="5"/>
  <c r="BO7" i="5"/>
  <c r="BN7" i="5"/>
  <c r="BM7" i="5"/>
  <c r="BL7" i="5"/>
  <c r="CE6" i="5"/>
  <c r="CD6" i="5"/>
  <c r="CC6" i="5"/>
  <c r="CB6" i="5"/>
  <c r="CA6" i="5"/>
  <c r="BZ6" i="5"/>
  <c r="BY6" i="5"/>
  <c r="BX6" i="5"/>
  <c r="BW6" i="5"/>
  <c r="BV6" i="5"/>
  <c r="BU6" i="5"/>
  <c r="BT6" i="5"/>
  <c r="BS6" i="5"/>
  <c r="BR6" i="5"/>
  <c r="BQ6" i="5"/>
  <c r="BP6" i="5"/>
  <c r="BO6" i="5"/>
  <c r="BN6" i="5"/>
  <c r="BM6" i="5"/>
  <c r="BL6" i="5"/>
  <c r="BK25" i="5"/>
  <c r="BJ25" i="5"/>
  <c r="BI25" i="5"/>
  <c r="BH25" i="5"/>
  <c r="BG25" i="5"/>
  <c r="BF25" i="5"/>
  <c r="BE25" i="5"/>
  <c r="BD25" i="5"/>
  <c r="BC25" i="5"/>
  <c r="BB25" i="5"/>
  <c r="BA25" i="5"/>
  <c r="AZ25" i="5"/>
  <c r="AY25" i="5"/>
  <c r="AX25" i="5"/>
  <c r="AW25" i="5"/>
  <c r="AV25" i="5"/>
  <c r="AU25" i="5"/>
  <c r="AT25" i="5"/>
  <c r="AS25" i="5"/>
  <c r="AR25" i="5"/>
  <c r="BK24" i="5"/>
  <c r="BJ24" i="5"/>
  <c r="BI24" i="5"/>
  <c r="BH24" i="5"/>
  <c r="BG24" i="5"/>
  <c r="BF24" i="5"/>
  <c r="BE24" i="5"/>
  <c r="BD24" i="5"/>
  <c r="BC24" i="5"/>
  <c r="BB24" i="5"/>
  <c r="BA24" i="5"/>
  <c r="AZ24" i="5"/>
  <c r="AY24" i="5"/>
  <c r="AX24" i="5"/>
  <c r="AW24" i="5"/>
  <c r="AV24" i="5"/>
  <c r="AU24" i="5"/>
  <c r="AT24" i="5"/>
  <c r="AS24" i="5"/>
  <c r="AR24" i="5"/>
  <c r="BK23" i="5"/>
  <c r="BJ23" i="5"/>
  <c r="BI23" i="5"/>
  <c r="BH23" i="5"/>
  <c r="BG23" i="5"/>
  <c r="BF23" i="5"/>
  <c r="BE23" i="5"/>
  <c r="BD23" i="5"/>
  <c r="BC23" i="5"/>
  <c r="BB23" i="5"/>
  <c r="BA23" i="5"/>
  <c r="AZ23" i="5"/>
  <c r="AY23" i="5"/>
  <c r="AX23" i="5"/>
  <c r="AW23" i="5"/>
  <c r="AV23" i="5"/>
  <c r="AU23" i="5"/>
  <c r="AT23" i="5"/>
  <c r="AS23" i="5"/>
  <c r="AR23" i="5"/>
  <c r="BK22" i="5"/>
  <c r="BJ22" i="5"/>
  <c r="BI22" i="5"/>
  <c r="BH22" i="5"/>
  <c r="BG22" i="5"/>
  <c r="BF22" i="5"/>
  <c r="BE22" i="5"/>
  <c r="BD22" i="5"/>
  <c r="BC22" i="5"/>
  <c r="BB22" i="5"/>
  <c r="BA22" i="5"/>
  <c r="AZ22" i="5"/>
  <c r="AY22" i="5"/>
  <c r="AX22" i="5"/>
  <c r="AW22" i="5"/>
  <c r="AV22" i="5"/>
  <c r="AU22" i="5"/>
  <c r="AT22" i="5"/>
  <c r="AS22" i="5"/>
  <c r="AR22" i="5"/>
  <c r="BK21" i="5"/>
  <c r="BJ21" i="5"/>
  <c r="BI21" i="5"/>
  <c r="BH21" i="5"/>
  <c r="BG21" i="5"/>
  <c r="BF21" i="5"/>
  <c r="BE21" i="5"/>
  <c r="BD21" i="5"/>
  <c r="BC21" i="5"/>
  <c r="BB21" i="5"/>
  <c r="BA21" i="5"/>
  <c r="AZ21" i="5"/>
  <c r="AY21" i="5"/>
  <c r="AX21" i="5"/>
  <c r="AW21" i="5"/>
  <c r="AV21" i="5"/>
  <c r="AU21" i="5"/>
  <c r="AT21" i="5"/>
  <c r="AS21" i="5"/>
  <c r="AR21" i="5"/>
  <c r="BK20" i="5"/>
  <c r="BJ20" i="5"/>
  <c r="BI20" i="5"/>
  <c r="BH20" i="5"/>
  <c r="BG20" i="5"/>
  <c r="BF20" i="5"/>
  <c r="BE20" i="5"/>
  <c r="BD20" i="5"/>
  <c r="BC20" i="5"/>
  <c r="BB20" i="5"/>
  <c r="BA20" i="5"/>
  <c r="AZ20" i="5"/>
  <c r="AY20" i="5"/>
  <c r="AX20" i="5"/>
  <c r="AW20" i="5"/>
  <c r="AV20" i="5"/>
  <c r="AU20" i="5"/>
  <c r="AT20" i="5"/>
  <c r="AS20" i="5"/>
  <c r="AR20" i="5"/>
  <c r="BK19" i="5"/>
  <c r="BJ19" i="5"/>
  <c r="BI19" i="5"/>
  <c r="BH19" i="5"/>
  <c r="BG19" i="5"/>
  <c r="BF19" i="5"/>
  <c r="BE19" i="5"/>
  <c r="BD19" i="5"/>
  <c r="BC19" i="5"/>
  <c r="BB19" i="5"/>
  <c r="BA19" i="5"/>
  <c r="AZ19" i="5"/>
  <c r="AY19" i="5"/>
  <c r="AX19" i="5"/>
  <c r="AW19" i="5"/>
  <c r="AV19" i="5"/>
  <c r="AU19" i="5"/>
  <c r="AT19" i="5"/>
  <c r="AS19" i="5"/>
  <c r="AR19" i="5"/>
  <c r="BK18" i="5"/>
  <c r="BJ18" i="5"/>
  <c r="BI18" i="5"/>
  <c r="BH18" i="5"/>
  <c r="BG18" i="5"/>
  <c r="BF18" i="5"/>
  <c r="BE18" i="5"/>
  <c r="BD18" i="5"/>
  <c r="BC18" i="5"/>
  <c r="BB18" i="5"/>
  <c r="BA18" i="5"/>
  <c r="AZ18" i="5"/>
  <c r="AY18" i="5"/>
  <c r="AX18" i="5"/>
  <c r="AW18" i="5"/>
  <c r="AV18" i="5"/>
  <c r="AU18" i="5"/>
  <c r="AT18" i="5"/>
  <c r="AS18" i="5"/>
  <c r="AR18" i="5"/>
  <c r="BK17" i="5"/>
  <c r="BJ17" i="5"/>
  <c r="BI17" i="5"/>
  <c r="BH17" i="5"/>
  <c r="BG17" i="5"/>
  <c r="BF17" i="5"/>
  <c r="BE17" i="5"/>
  <c r="BD17" i="5"/>
  <c r="BC17" i="5"/>
  <c r="BB17" i="5"/>
  <c r="BA17" i="5"/>
  <c r="AZ17" i="5"/>
  <c r="AY17" i="5"/>
  <c r="AX17" i="5"/>
  <c r="AW17" i="5"/>
  <c r="AV17" i="5"/>
  <c r="AU17" i="5"/>
  <c r="AT17" i="5"/>
  <c r="AS17" i="5"/>
  <c r="AR17" i="5"/>
  <c r="BK16" i="5"/>
  <c r="BJ16" i="5"/>
  <c r="BI16" i="5"/>
  <c r="BH16" i="5"/>
  <c r="BG16" i="5"/>
  <c r="BF16" i="5"/>
  <c r="BE16" i="5"/>
  <c r="BD16" i="5"/>
  <c r="BC16" i="5"/>
  <c r="BB16" i="5"/>
  <c r="BA16" i="5"/>
  <c r="AZ16" i="5"/>
  <c r="AY16" i="5"/>
  <c r="AX16" i="5"/>
  <c r="AW16" i="5"/>
  <c r="AV16" i="5"/>
  <c r="AU16" i="5"/>
  <c r="AT16" i="5"/>
  <c r="AS16" i="5"/>
  <c r="AR16" i="5"/>
  <c r="BK15" i="5"/>
  <c r="BJ15" i="5"/>
  <c r="BI15" i="5"/>
  <c r="BH15" i="5"/>
  <c r="BG15" i="5"/>
  <c r="BF15" i="5"/>
  <c r="BE15" i="5"/>
  <c r="BD15" i="5"/>
  <c r="BC15" i="5"/>
  <c r="BB15" i="5"/>
  <c r="BA15" i="5"/>
  <c r="AZ15" i="5"/>
  <c r="AY15" i="5"/>
  <c r="AX15" i="5"/>
  <c r="AW15" i="5"/>
  <c r="AV15" i="5"/>
  <c r="AU15" i="5"/>
  <c r="AT15" i="5"/>
  <c r="AS15" i="5"/>
  <c r="AR15" i="5"/>
  <c r="BK14" i="5"/>
  <c r="BJ14" i="5"/>
  <c r="BI14" i="5"/>
  <c r="BH14" i="5"/>
  <c r="BG14" i="5"/>
  <c r="BF14" i="5"/>
  <c r="BE14" i="5"/>
  <c r="BD14" i="5"/>
  <c r="BC14" i="5"/>
  <c r="BB14" i="5"/>
  <c r="BA14" i="5"/>
  <c r="AZ14" i="5"/>
  <c r="AY14" i="5"/>
  <c r="AX14" i="5"/>
  <c r="AW14" i="5"/>
  <c r="AV14" i="5"/>
  <c r="AU14" i="5"/>
  <c r="AT14" i="5"/>
  <c r="AS14" i="5"/>
  <c r="AR14" i="5"/>
  <c r="BK13" i="5"/>
  <c r="BJ13" i="5"/>
  <c r="BI13" i="5"/>
  <c r="BH13" i="5"/>
  <c r="BG13" i="5"/>
  <c r="BF13" i="5"/>
  <c r="BE13" i="5"/>
  <c r="BD13" i="5"/>
  <c r="BC13" i="5"/>
  <c r="BB13" i="5"/>
  <c r="BA13" i="5"/>
  <c r="AZ13" i="5"/>
  <c r="AY13" i="5"/>
  <c r="AX13" i="5"/>
  <c r="AW13" i="5"/>
  <c r="AV13" i="5"/>
  <c r="AU13" i="5"/>
  <c r="AT13" i="5"/>
  <c r="AS13" i="5"/>
  <c r="AR13" i="5"/>
  <c r="BK12" i="5"/>
  <c r="BJ12" i="5"/>
  <c r="BI12" i="5"/>
  <c r="BH12" i="5"/>
  <c r="BG12" i="5"/>
  <c r="BF12" i="5"/>
  <c r="BE12" i="5"/>
  <c r="BD12" i="5"/>
  <c r="BC12" i="5"/>
  <c r="BB12" i="5"/>
  <c r="BA12" i="5"/>
  <c r="AZ12" i="5"/>
  <c r="AY12" i="5"/>
  <c r="AX12" i="5"/>
  <c r="AW12" i="5"/>
  <c r="AV12" i="5"/>
  <c r="AU12" i="5"/>
  <c r="AT12" i="5"/>
  <c r="AS12" i="5"/>
  <c r="AR12" i="5"/>
  <c r="BK11" i="5"/>
  <c r="BJ11" i="5"/>
  <c r="BI11" i="5"/>
  <c r="BH11" i="5"/>
  <c r="BG11" i="5"/>
  <c r="BF11" i="5"/>
  <c r="BE11" i="5"/>
  <c r="BD11" i="5"/>
  <c r="BC11" i="5"/>
  <c r="BB11" i="5"/>
  <c r="BA11" i="5"/>
  <c r="AZ11" i="5"/>
  <c r="AY11" i="5"/>
  <c r="AX11" i="5"/>
  <c r="AW11" i="5"/>
  <c r="AV11" i="5"/>
  <c r="AU11" i="5"/>
  <c r="AT11" i="5"/>
  <c r="AS11" i="5"/>
  <c r="AR11" i="5"/>
  <c r="BK10" i="5"/>
  <c r="BJ10" i="5"/>
  <c r="BI10" i="5"/>
  <c r="BH10" i="5"/>
  <c r="BG10" i="5"/>
  <c r="BF10" i="5"/>
  <c r="BE10" i="5"/>
  <c r="BD10" i="5"/>
  <c r="BC10" i="5"/>
  <c r="BB10" i="5"/>
  <c r="BA10" i="5"/>
  <c r="AZ10" i="5"/>
  <c r="AY10" i="5"/>
  <c r="AX10" i="5"/>
  <c r="AW10" i="5"/>
  <c r="AV10" i="5"/>
  <c r="AU10" i="5"/>
  <c r="AT10" i="5"/>
  <c r="AS10" i="5"/>
  <c r="AR10" i="5"/>
  <c r="BK9" i="5"/>
  <c r="BJ9" i="5"/>
  <c r="BI9" i="5"/>
  <c r="BH9" i="5"/>
  <c r="BG9" i="5"/>
  <c r="BF9" i="5"/>
  <c r="BE9" i="5"/>
  <c r="BD9" i="5"/>
  <c r="BC9" i="5"/>
  <c r="BB9" i="5"/>
  <c r="BA9" i="5"/>
  <c r="AZ9" i="5"/>
  <c r="AY9" i="5"/>
  <c r="AX9" i="5"/>
  <c r="AW9" i="5"/>
  <c r="AV9" i="5"/>
  <c r="AU9" i="5"/>
  <c r="AT9" i="5"/>
  <c r="AS9" i="5"/>
  <c r="AR9" i="5"/>
  <c r="BK8" i="5"/>
  <c r="BJ8" i="5"/>
  <c r="BI8" i="5"/>
  <c r="BH8" i="5"/>
  <c r="BG8" i="5"/>
  <c r="BF8" i="5"/>
  <c r="BE8" i="5"/>
  <c r="BD8" i="5"/>
  <c r="BC8" i="5"/>
  <c r="BB8" i="5"/>
  <c r="BA8" i="5"/>
  <c r="AZ8" i="5"/>
  <c r="AY8" i="5"/>
  <c r="AX8" i="5"/>
  <c r="AW8" i="5"/>
  <c r="AV8" i="5"/>
  <c r="AU8" i="5"/>
  <c r="AT8" i="5"/>
  <c r="AS8" i="5"/>
  <c r="AR8" i="5"/>
  <c r="BK7" i="5"/>
  <c r="BJ7" i="5"/>
  <c r="BI7" i="5"/>
  <c r="BH7" i="5"/>
  <c r="BG7" i="5"/>
  <c r="BF7" i="5"/>
  <c r="BE7" i="5"/>
  <c r="BD7" i="5"/>
  <c r="BC7" i="5"/>
  <c r="BB7" i="5"/>
  <c r="BA7" i="5"/>
  <c r="AZ7" i="5"/>
  <c r="AY7" i="5"/>
  <c r="AX7" i="5"/>
  <c r="AW7" i="5"/>
  <c r="AV7" i="5"/>
  <c r="AU7" i="5"/>
  <c r="AT7" i="5"/>
  <c r="AS7" i="5"/>
  <c r="AR7" i="5"/>
  <c r="BK6" i="5"/>
  <c r="BJ6" i="5"/>
  <c r="BI6" i="5"/>
  <c r="BH6" i="5"/>
  <c r="BG6" i="5"/>
  <c r="BF6" i="5"/>
  <c r="BE6" i="5"/>
  <c r="BD6" i="5"/>
  <c r="BC6" i="5"/>
  <c r="BB6" i="5"/>
  <c r="BA6" i="5"/>
  <c r="AZ6" i="5"/>
  <c r="AY6" i="5"/>
  <c r="AX6" i="5"/>
  <c r="AW6" i="5"/>
  <c r="AV6" i="5"/>
  <c r="AU6" i="5"/>
  <c r="AT6" i="5"/>
  <c r="AS6" i="5"/>
  <c r="AR6" i="5"/>
  <c r="AQ25" i="5"/>
  <c r="AP25" i="5"/>
  <c r="AQ24" i="5"/>
  <c r="AP24" i="5"/>
  <c r="AQ23" i="5"/>
  <c r="AP23" i="5"/>
  <c r="AQ22" i="5"/>
  <c r="AP22" i="5"/>
  <c r="AQ21" i="5"/>
  <c r="AP21" i="5"/>
  <c r="AQ20" i="5"/>
  <c r="AP20" i="5"/>
  <c r="AQ19" i="5"/>
  <c r="AP19" i="5"/>
  <c r="AQ18" i="5"/>
  <c r="AP18" i="5"/>
  <c r="AQ17" i="5"/>
  <c r="AP17" i="5"/>
  <c r="AQ16" i="5"/>
  <c r="AP16" i="5"/>
  <c r="AQ15" i="5"/>
  <c r="AP15" i="5"/>
  <c r="AQ14" i="5"/>
  <c r="AP14" i="5"/>
  <c r="AQ13" i="5"/>
  <c r="AP13" i="5"/>
  <c r="AQ12" i="5"/>
  <c r="AP12" i="5"/>
  <c r="AQ11" i="5"/>
  <c r="AP11" i="5"/>
  <c r="AQ10" i="5"/>
  <c r="AP10" i="5"/>
  <c r="AQ9" i="5"/>
  <c r="AP9" i="5"/>
  <c r="AQ8" i="5"/>
  <c r="AP8" i="5"/>
  <c r="AQ7" i="5"/>
  <c r="AP7" i="5"/>
  <c r="AQ6" i="5"/>
  <c r="AP6" i="5"/>
  <c r="AO25" i="5"/>
  <c r="AN25" i="5"/>
  <c r="AO24" i="5"/>
  <c r="AN24" i="5"/>
  <c r="AO23" i="5"/>
  <c r="AN23" i="5"/>
  <c r="AO22" i="5"/>
  <c r="AN22" i="5"/>
  <c r="AO21" i="5"/>
  <c r="AN21" i="5"/>
  <c r="AO20" i="5"/>
  <c r="AN20" i="5"/>
  <c r="AO19" i="5"/>
  <c r="AN19" i="5"/>
  <c r="AO18" i="5"/>
  <c r="AN18" i="5"/>
  <c r="AO17" i="5"/>
  <c r="AN17" i="5"/>
  <c r="AO16" i="5"/>
  <c r="AN16" i="5"/>
  <c r="AO15" i="5"/>
  <c r="AN15" i="5"/>
  <c r="AO14" i="5"/>
  <c r="AN14" i="5"/>
  <c r="AO13" i="5"/>
  <c r="AN13" i="5"/>
  <c r="AO12" i="5"/>
  <c r="AN12" i="5"/>
  <c r="AO11" i="5"/>
  <c r="AN11" i="5"/>
  <c r="AO10" i="5"/>
  <c r="AN10" i="5"/>
  <c r="AO9" i="5"/>
  <c r="AN9" i="5"/>
  <c r="AO8" i="5"/>
  <c r="AN8" i="5"/>
  <c r="AO7" i="5"/>
  <c r="AN7" i="5"/>
  <c r="AO6" i="5"/>
  <c r="AN6" i="5"/>
  <c r="AM25" i="5"/>
  <c r="AL25" i="5"/>
  <c r="AM24" i="5"/>
  <c r="AL24" i="5"/>
  <c r="AM23" i="5"/>
  <c r="AL23" i="5"/>
  <c r="AM22" i="5"/>
  <c r="AL22" i="5"/>
  <c r="AM21" i="5"/>
  <c r="AL21" i="5"/>
  <c r="AM20" i="5"/>
  <c r="AL20" i="5"/>
  <c r="AM19" i="5"/>
  <c r="AL19" i="5"/>
  <c r="AM18" i="5"/>
  <c r="AL18" i="5"/>
  <c r="AM17" i="5"/>
  <c r="AL17" i="5"/>
  <c r="AM16" i="5"/>
  <c r="AL16" i="5"/>
  <c r="AM15" i="5"/>
  <c r="AL15" i="5"/>
  <c r="AM14" i="5"/>
  <c r="AL14" i="5"/>
  <c r="AM13" i="5"/>
  <c r="AL13" i="5"/>
  <c r="AM12" i="5"/>
  <c r="AL12" i="5"/>
  <c r="AM11" i="5"/>
  <c r="AL11" i="5"/>
  <c r="AM10" i="5"/>
  <c r="AL10" i="5"/>
  <c r="AM9" i="5"/>
  <c r="AL9" i="5"/>
  <c r="AM8" i="5"/>
  <c r="AL8" i="5"/>
  <c r="AM7" i="5"/>
  <c r="AL7" i="5"/>
  <c r="AM6" i="5"/>
  <c r="AL6" i="5"/>
  <c r="AK25" i="5"/>
  <c r="AJ25" i="5"/>
  <c r="AK24" i="5"/>
  <c r="AJ24" i="5"/>
  <c r="AK23" i="5"/>
  <c r="AJ23" i="5"/>
  <c r="AK22" i="5"/>
  <c r="AJ22" i="5"/>
  <c r="AK21" i="5"/>
  <c r="AJ21" i="5"/>
  <c r="AK20" i="5"/>
  <c r="AJ20" i="5"/>
  <c r="AK19" i="5"/>
  <c r="AJ19" i="5"/>
  <c r="AK18" i="5"/>
  <c r="AJ18" i="5"/>
  <c r="AK17" i="5"/>
  <c r="AJ17" i="5"/>
  <c r="AK16" i="5"/>
  <c r="AJ16" i="5"/>
  <c r="AK15" i="5"/>
  <c r="AJ15" i="5"/>
  <c r="AK14" i="5"/>
  <c r="AJ14" i="5"/>
  <c r="AK13" i="5"/>
  <c r="AJ13" i="5"/>
  <c r="AK12" i="5"/>
  <c r="AJ12" i="5"/>
  <c r="AK11" i="5"/>
  <c r="AJ11" i="5"/>
  <c r="AK10" i="5"/>
  <c r="AJ10" i="5"/>
  <c r="AK9" i="5"/>
  <c r="AJ9" i="5"/>
  <c r="AK8" i="5"/>
  <c r="AJ8" i="5"/>
  <c r="AK7" i="5"/>
  <c r="AJ7" i="5"/>
  <c r="AK6" i="5"/>
  <c r="AJ6" i="5"/>
  <c r="AI25" i="5"/>
  <c r="AH25" i="5"/>
  <c r="AI24" i="5"/>
  <c r="AH24" i="5"/>
  <c r="AI23" i="5"/>
  <c r="AH23" i="5"/>
  <c r="AI22" i="5"/>
  <c r="AH22" i="5"/>
  <c r="AI21" i="5"/>
  <c r="AH21" i="5"/>
  <c r="AI20" i="5"/>
  <c r="AH20" i="5"/>
  <c r="AI19" i="5"/>
  <c r="AH19" i="5"/>
  <c r="AI18" i="5"/>
  <c r="AH18" i="5"/>
  <c r="AI17" i="5"/>
  <c r="AH17" i="5"/>
  <c r="AI16" i="5"/>
  <c r="AH16" i="5"/>
  <c r="AI15" i="5"/>
  <c r="AH15" i="5"/>
  <c r="AI14" i="5"/>
  <c r="AH14" i="5"/>
  <c r="AI13" i="5"/>
  <c r="AH13" i="5"/>
  <c r="AI12" i="5"/>
  <c r="AH12" i="5"/>
  <c r="AI11" i="5"/>
  <c r="AH11" i="5"/>
  <c r="AI10" i="5"/>
  <c r="AH10" i="5"/>
  <c r="AI9" i="5"/>
  <c r="AH9" i="5"/>
  <c r="AI8" i="5"/>
  <c r="AH8" i="5"/>
  <c r="AI7" i="5"/>
  <c r="AH7" i="5"/>
  <c r="AI6" i="5"/>
  <c r="AH6" i="5"/>
  <c r="AG25" i="5"/>
  <c r="AF25" i="5"/>
  <c r="AG24" i="5"/>
  <c r="AF24" i="5"/>
  <c r="AG23" i="5"/>
  <c r="AF23" i="5"/>
  <c r="AG22" i="5"/>
  <c r="AF22" i="5"/>
  <c r="AG21" i="5"/>
  <c r="AF21" i="5"/>
  <c r="AG20" i="5"/>
  <c r="AF20" i="5"/>
  <c r="AG19" i="5"/>
  <c r="AF19" i="5"/>
  <c r="AG18" i="5"/>
  <c r="AF18" i="5"/>
  <c r="AG17" i="5"/>
  <c r="AF17" i="5"/>
  <c r="AG16" i="5"/>
  <c r="AF16" i="5"/>
  <c r="AG15" i="5"/>
  <c r="AF15" i="5"/>
  <c r="AG14" i="5"/>
  <c r="AF14" i="5"/>
  <c r="AG13" i="5"/>
  <c r="AF13" i="5"/>
  <c r="AG12" i="5"/>
  <c r="AF12" i="5"/>
  <c r="AG11" i="5"/>
  <c r="AF11" i="5"/>
  <c r="AG10" i="5"/>
  <c r="AF10" i="5"/>
  <c r="AG9" i="5"/>
  <c r="AF9" i="5"/>
  <c r="AG8" i="5"/>
  <c r="AF8" i="5"/>
  <c r="AG7" i="5"/>
  <c r="AF7" i="5"/>
  <c r="AG6" i="5"/>
  <c r="AF6" i="5"/>
  <c r="AE25" i="5"/>
  <c r="AD25" i="5"/>
  <c r="AE24" i="5"/>
  <c r="AD24" i="5"/>
  <c r="AE23" i="5"/>
  <c r="AD23" i="5"/>
  <c r="AE22" i="5"/>
  <c r="AD22" i="5"/>
  <c r="AE21" i="5"/>
  <c r="AD21" i="5"/>
  <c r="AE20" i="5"/>
  <c r="AD20" i="5"/>
  <c r="AE19" i="5"/>
  <c r="AD19" i="5"/>
  <c r="AE18" i="5"/>
  <c r="AD18" i="5"/>
  <c r="AE17" i="5"/>
  <c r="AD17" i="5"/>
  <c r="AE16" i="5"/>
  <c r="AD16" i="5"/>
  <c r="AE15" i="5"/>
  <c r="AD15" i="5"/>
  <c r="AE14" i="5"/>
  <c r="AD14" i="5"/>
  <c r="AE13" i="5"/>
  <c r="AD13" i="5"/>
  <c r="AE12" i="5"/>
  <c r="AD12" i="5"/>
  <c r="AE11" i="5"/>
  <c r="AD11" i="5"/>
  <c r="AE10" i="5"/>
  <c r="AD10" i="5"/>
  <c r="AE9" i="5"/>
  <c r="AD9" i="5"/>
  <c r="AE8" i="5"/>
  <c r="AD8" i="5"/>
  <c r="AE7" i="5"/>
  <c r="AD7" i="5"/>
  <c r="AE6" i="5"/>
  <c r="AD6" i="5"/>
  <c r="AC25" i="5"/>
  <c r="AB25" i="5"/>
  <c r="AC24" i="5"/>
  <c r="AB24" i="5"/>
  <c r="AC23" i="5"/>
  <c r="AB23" i="5"/>
  <c r="AC22" i="5"/>
  <c r="AB22" i="5"/>
  <c r="AC21" i="5"/>
  <c r="AB21" i="5"/>
  <c r="AC20" i="5"/>
  <c r="AB20" i="5"/>
  <c r="AC19" i="5"/>
  <c r="AB19" i="5"/>
  <c r="AC18" i="5"/>
  <c r="AB18" i="5"/>
  <c r="AC17" i="5"/>
  <c r="AB17" i="5"/>
  <c r="AC16" i="5"/>
  <c r="AB16" i="5"/>
  <c r="AC15" i="5"/>
  <c r="AB15" i="5"/>
  <c r="AC14" i="5"/>
  <c r="AB14" i="5"/>
  <c r="AC13" i="5"/>
  <c r="AB13" i="5"/>
  <c r="AC12" i="5"/>
  <c r="AB12" i="5"/>
  <c r="AC11" i="5"/>
  <c r="AB11" i="5"/>
  <c r="AC10" i="5"/>
  <c r="AB10" i="5"/>
  <c r="AC9" i="5"/>
  <c r="AB9" i="5"/>
  <c r="AC8" i="5"/>
  <c r="AB8" i="5"/>
  <c r="AC7" i="5"/>
  <c r="AB7" i="5"/>
  <c r="AC6" i="5"/>
  <c r="AB6" i="5"/>
  <c r="AA25" i="5"/>
  <c r="Z25" i="5"/>
  <c r="AA24" i="5"/>
  <c r="Z24" i="5"/>
  <c r="AA23" i="5"/>
  <c r="Z23" i="5"/>
  <c r="AA22" i="5"/>
  <c r="Z22" i="5"/>
  <c r="AA21" i="5"/>
  <c r="Z21" i="5"/>
  <c r="AA20" i="5"/>
  <c r="Z20" i="5"/>
  <c r="AA19" i="5"/>
  <c r="Z19" i="5"/>
  <c r="AA18" i="5"/>
  <c r="Z18" i="5"/>
  <c r="AA17" i="5"/>
  <c r="Z17" i="5"/>
  <c r="AA16" i="5"/>
  <c r="Z16" i="5"/>
  <c r="AA15" i="5"/>
  <c r="Z15" i="5"/>
  <c r="AA14" i="5"/>
  <c r="Z14" i="5"/>
  <c r="AA13" i="5"/>
  <c r="Z13" i="5"/>
  <c r="AA12" i="5"/>
  <c r="Z12" i="5"/>
  <c r="AA11" i="5"/>
  <c r="Z11" i="5"/>
  <c r="AA10" i="5"/>
  <c r="Z10" i="5"/>
  <c r="AA9" i="5"/>
  <c r="Z9" i="5"/>
  <c r="AA8" i="5"/>
  <c r="Z8" i="5"/>
  <c r="AA7" i="5"/>
  <c r="Z7" i="5"/>
  <c r="AA6" i="5"/>
  <c r="Z6" i="5"/>
  <c r="Y25" i="5"/>
  <c r="Y24" i="5"/>
  <c r="Y23" i="5"/>
  <c r="Y22" i="5"/>
  <c r="Y21" i="5"/>
  <c r="Y20" i="5"/>
  <c r="Y19" i="5"/>
  <c r="Y18" i="5"/>
  <c r="Y17" i="5"/>
  <c r="Y16" i="5"/>
  <c r="Y15" i="5"/>
  <c r="Y14" i="5"/>
  <c r="Y13" i="5"/>
  <c r="Y12" i="5"/>
  <c r="Y11" i="5"/>
  <c r="Y10" i="5"/>
  <c r="Y9" i="5"/>
  <c r="Y8" i="5"/>
  <c r="Y7" i="5"/>
  <c r="Y6" i="5"/>
  <c r="DQ25" i="10"/>
  <c r="DP25" i="10"/>
  <c r="DO25" i="10"/>
  <c r="DN25" i="10"/>
  <c r="DM25" i="10"/>
  <c r="DL25" i="10"/>
  <c r="DK25" i="10"/>
  <c r="DJ25" i="10"/>
  <c r="DI25" i="10"/>
  <c r="DH25" i="10"/>
  <c r="DG25" i="10"/>
  <c r="DF25" i="10"/>
  <c r="DE25" i="10"/>
  <c r="DD25" i="10"/>
  <c r="DC25" i="10"/>
  <c r="DB25" i="10"/>
  <c r="DA25" i="10"/>
  <c r="CZ25" i="10"/>
  <c r="CY25" i="10"/>
  <c r="CX25" i="10"/>
  <c r="DQ24" i="10"/>
  <c r="DP24" i="10"/>
  <c r="DO24" i="10"/>
  <c r="DN24" i="10"/>
  <c r="DM24" i="10"/>
  <c r="DL24" i="10"/>
  <c r="DK24" i="10"/>
  <c r="DJ24" i="10"/>
  <c r="DI24" i="10"/>
  <c r="DH24" i="10"/>
  <c r="DG24" i="10"/>
  <c r="DF24" i="10"/>
  <c r="DE24" i="10"/>
  <c r="DD24" i="10"/>
  <c r="DC24" i="10"/>
  <c r="DB24" i="10"/>
  <c r="DA24" i="10"/>
  <c r="CZ24" i="10"/>
  <c r="CY24" i="10"/>
  <c r="CX24" i="10"/>
  <c r="DQ23" i="10"/>
  <c r="DP23" i="10"/>
  <c r="DO23" i="10"/>
  <c r="DN23" i="10"/>
  <c r="DM23" i="10"/>
  <c r="DL23" i="10"/>
  <c r="DK23" i="10"/>
  <c r="DJ23" i="10"/>
  <c r="DI23" i="10"/>
  <c r="DH23" i="10"/>
  <c r="DG23" i="10"/>
  <c r="DF23" i="10"/>
  <c r="DE23" i="10"/>
  <c r="DD23" i="10"/>
  <c r="DC23" i="10"/>
  <c r="DB23" i="10"/>
  <c r="DA23" i="10"/>
  <c r="CZ23" i="10"/>
  <c r="CY23" i="10"/>
  <c r="CX23" i="10"/>
  <c r="DQ22" i="10"/>
  <c r="DP22" i="10"/>
  <c r="DO22" i="10"/>
  <c r="DN22" i="10"/>
  <c r="DM22" i="10"/>
  <c r="DL22" i="10"/>
  <c r="DK22" i="10"/>
  <c r="DJ22" i="10"/>
  <c r="DI22" i="10"/>
  <c r="DH22" i="10"/>
  <c r="DG22" i="10"/>
  <c r="DF22" i="10"/>
  <c r="DE22" i="10"/>
  <c r="DD22" i="10"/>
  <c r="DC22" i="10"/>
  <c r="DB22" i="10"/>
  <c r="DA22" i="10"/>
  <c r="CZ22" i="10"/>
  <c r="CY22" i="10"/>
  <c r="CX22" i="10"/>
  <c r="DQ21" i="10"/>
  <c r="DP21" i="10"/>
  <c r="DO21" i="10"/>
  <c r="DN21" i="10"/>
  <c r="DM21" i="10"/>
  <c r="DL21" i="10"/>
  <c r="DK21" i="10"/>
  <c r="DJ21" i="10"/>
  <c r="DI21" i="10"/>
  <c r="DH21" i="10"/>
  <c r="DG21" i="10"/>
  <c r="DF21" i="10"/>
  <c r="DE21" i="10"/>
  <c r="DD21" i="10"/>
  <c r="DC21" i="10"/>
  <c r="DB21" i="10"/>
  <c r="DA21" i="10"/>
  <c r="CZ21" i="10"/>
  <c r="CY21" i="10"/>
  <c r="CX21" i="10"/>
  <c r="DQ20" i="10"/>
  <c r="DP20" i="10"/>
  <c r="DO20" i="10"/>
  <c r="DN20" i="10"/>
  <c r="DM20" i="10"/>
  <c r="DL20" i="10"/>
  <c r="DK20" i="10"/>
  <c r="DJ20" i="10"/>
  <c r="DI20" i="10"/>
  <c r="DH20" i="10"/>
  <c r="DG20" i="10"/>
  <c r="DF20" i="10"/>
  <c r="DE20" i="10"/>
  <c r="DD20" i="10"/>
  <c r="DC20" i="10"/>
  <c r="DB20" i="10"/>
  <c r="DA20" i="10"/>
  <c r="CZ20" i="10"/>
  <c r="CY20" i="10"/>
  <c r="CX20" i="10"/>
  <c r="DQ19" i="10"/>
  <c r="DP19" i="10"/>
  <c r="DO19" i="10"/>
  <c r="DN19" i="10"/>
  <c r="DM19" i="10"/>
  <c r="DL19" i="10"/>
  <c r="DK19" i="10"/>
  <c r="DJ19" i="10"/>
  <c r="DI19" i="10"/>
  <c r="DH19" i="10"/>
  <c r="DG19" i="10"/>
  <c r="DF19" i="10"/>
  <c r="DE19" i="10"/>
  <c r="DD19" i="10"/>
  <c r="DC19" i="10"/>
  <c r="DB19" i="10"/>
  <c r="DA19" i="10"/>
  <c r="CZ19" i="10"/>
  <c r="CY19" i="10"/>
  <c r="CX19" i="10"/>
  <c r="DQ18" i="10"/>
  <c r="DP18" i="10"/>
  <c r="DO18" i="10"/>
  <c r="DN18" i="10"/>
  <c r="DM18" i="10"/>
  <c r="DL18" i="10"/>
  <c r="DK18" i="10"/>
  <c r="DJ18" i="10"/>
  <c r="DI18" i="10"/>
  <c r="DH18" i="10"/>
  <c r="DG18" i="10"/>
  <c r="DF18" i="10"/>
  <c r="DE18" i="10"/>
  <c r="DD18" i="10"/>
  <c r="DC18" i="10"/>
  <c r="DB18" i="10"/>
  <c r="DA18" i="10"/>
  <c r="CZ18" i="10"/>
  <c r="CY18" i="10"/>
  <c r="CX18" i="10"/>
  <c r="DQ17" i="10"/>
  <c r="DP17" i="10"/>
  <c r="DO17" i="10"/>
  <c r="DN17" i="10"/>
  <c r="DM17" i="10"/>
  <c r="DL17" i="10"/>
  <c r="DK17" i="10"/>
  <c r="DJ17" i="10"/>
  <c r="DI17" i="10"/>
  <c r="DH17" i="10"/>
  <c r="DG17" i="10"/>
  <c r="DF17" i="10"/>
  <c r="DE17" i="10"/>
  <c r="DD17" i="10"/>
  <c r="DC17" i="10"/>
  <c r="DB17" i="10"/>
  <c r="DA17" i="10"/>
  <c r="CZ17" i="10"/>
  <c r="CY17" i="10"/>
  <c r="CX17" i="10"/>
  <c r="DQ16" i="10"/>
  <c r="DP16" i="10"/>
  <c r="DO16" i="10"/>
  <c r="DN16" i="10"/>
  <c r="DM16" i="10"/>
  <c r="DL16" i="10"/>
  <c r="DK16" i="10"/>
  <c r="DJ16" i="10"/>
  <c r="DI16" i="10"/>
  <c r="DH16" i="10"/>
  <c r="DG16" i="10"/>
  <c r="DF16" i="10"/>
  <c r="DE16" i="10"/>
  <c r="DD16" i="10"/>
  <c r="DC16" i="10"/>
  <c r="DB16" i="10"/>
  <c r="DA16" i="10"/>
  <c r="CZ16" i="10"/>
  <c r="CY16" i="10"/>
  <c r="CX16" i="10"/>
  <c r="DQ15" i="10"/>
  <c r="DP15" i="10"/>
  <c r="DO15" i="10"/>
  <c r="DN15" i="10"/>
  <c r="DM15" i="10"/>
  <c r="DL15" i="10"/>
  <c r="DK15" i="10"/>
  <c r="DJ15" i="10"/>
  <c r="DI15" i="10"/>
  <c r="DH15" i="10"/>
  <c r="DG15" i="10"/>
  <c r="DF15" i="10"/>
  <c r="DE15" i="10"/>
  <c r="DD15" i="10"/>
  <c r="DC15" i="10"/>
  <c r="DB15" i="10"/>
  <c r="DA15" i="10"/>
  <c r="CZ15" i="10"/>
  <c r="CY15" i="10"/>
  <c r="CX15" i="10"/>
  <c r="DQ14" i="10"/>
  <c r="DP14" i="10"/>
  <c r="DO14" i="10"/>
  <c r="DN14" i="10"/>
  <c r="DM14" i="10"/>
  <c r="DL14" i="10"/>
  <c r="DK14" i="10"/>
  <c r="DJ14" i="10"/>
  <c r="DI14" i="10"/>
  <c r="DH14" i="10"/>
  <c r="DG14" i="10"/>
  <c r="DF14" i="10"/>
  <c r="DE14" i="10"/>
  <c r="DD14" i="10"/>
  <c r="DC14" i="10"/>
  <c r="DB14" i="10"/>
  <c r="DA14" i="10"/>
  <c r="CZ14" i="10"/>
  <c r="CY14" i="10"/>
  <c r="CX14" i="10"/>
  <c r="DQ13" i="10"/>
  <c r="DP13" i="10"/>
  <c r="DO13" i="10"/>
  <c r="DN13" i="10"/>
  <c r="DM13" i="10"/>
  <c r="DL13" i="10"/>
  <c r="DK13" i="10"/>
  <c r="DJ13" i="10"/>
  <c r="DI13" i="10"/>
  <c r="DH13" i="10"/>
  <c r="DG13" i="10"/>
  <c r="DF13" i="10"/>
  <c r="DE13" i="10"/>
  <c r="DD13" i="10"/>
  <c r="DC13" i="10"/>
  <c r="DB13" i="10"/>
  <c r="DA13" i="10"/>
  <c r="CZ13" i="10"/>
  <c r="CY13" i="10"/>
  <c r="CX13" i="10"/>
  <c r="DQ12" i="10"/>
  <c r="DP12" i="10"/>
  <c r="DO12" i="10"/>
  <c r="DN12" i="10"/>
  <c r="DM12" i="10"/>
  <c r="DL12" i="10"/>
  <c r="DK12" i="10"/>
  <c r="DJ12" i="10"/>
  <c r="DI12" i="10"/>
  <c r="DH12" i="10"/>
  <c r="DG12" i="10"/>
  <c r="DF12" i="10"/>
  <c r="DE12" i="10"/>
  <c r="DD12" i="10"/>
  <c r="DC12" i="10"/>
  <c r="DB12" i="10"/>
  <c r="DA12" i="10"/>
  <c r="CZ12" i="10"/>
  <c r="CY12" i="10"/>
  <c r="CX12" i="10"/>
  <c r="DQ11" i="10"/>
  <c r="DP11" i="10"/>
  <c r="DO11" i="10"/>
  <c r="DN11" i="10"/>
  <c r="DM11" i="10"/>
  <c r="DL11" i="10"/>
  <c r="DK11" i="10"/>
  <c r="DJ11" i="10"/>
  <c r="DI11" i="10"/>
  <c r="DH11" i="10"/>
  <c r="DG11" i="10"/>
  <c r="DF11" i="10"/>
  <c r="DE11" i="10"/>
  <c r="DD11" i="10"/>
  <c r="DC11" i="10"/>
  <c r="DB11" i="10"/>
  <c r="DA11" i="10"/>
  <c r="CZ11" i="10"/>
  <c r="CY11" i="10"/>
  <c r="CX11" i="10"/>
  <c r="DQ10" i="10"/>
  <c r="DP10" i="10"/>
  <c r="DO10" i="10"/>
  <c r="DN10" i="10"/>
  <c r="DM10" i="10"/>
  <c r="DL10" i="10"/>
  <c r="DK10" i="10"/>
  <c r="DJ10" i="10"/>
  <c r="DI10" i="10"/>
  <c r="DH10" i="10"/>
  <c r="DG10" i="10"/>
  <c r="DF10" i="10"/>
  <c r="DE10" i="10"/>
  <c r="DD10" i="10"/>
  <c r="DC10" i="10"/>
  <c r="DB10" i="10"/>
  <c r="DA10" i="10"/>
  <c r="CZ10" i="10"/>
  <c r="CY10" i="10"/>
  <c r="CX10" i="10"/>
  <c r="DQ9" i="10"/>
  <c r="DP9" i="10"/>
  <c r="DO9" i="10"/>
  <c r="DN9" i="10"/>
  <c r="DM9" i="10"/>
  <c r="DL9" i="10"/>
  <c r="DK9" i="10"/>
  <c r="DJ9" i="10"/>
  <c r="DI9" i="10"/>
  <c r="DH9" i="10"/>
  <c r="DG9" i="10"/>
  <c r="DF9" i="10"/>
  <c r="DE9" i="10"/>
  <c r="DD9" i="10"/>
  <c r="DC9" i="10"/>
  <c r="DB9" i="10"/>
  <c r="DA9" i="10"/>
  <c r="CZ9" i="10"/>
  <c r="CY9" i="10"/>
  <c r="CX9" i="10"/>
  <c r="DQ8" i="10"/>
  <c r="DP8" i="10"/>
  <c r="DO8" i="10"/>
  <c r="DN8" i="10"/>
  <c r="DM8" i="10"/>
  <c r="DL8" i="10"/>
  <c r="DK8" i="10"/>
  <c r="DJ8" i="10"/>
  <c r="DI8" i="10"/>
  <c r="DH8" i="10"/>
  <c r="DG8" i="10"/>
  <c r="DF8" i="10"/>
  <c r="DE8" i="10"/>
  <c r="DD8" i="10"/>
  <c r="DC8" i="10"/>
  <c r="DB8" i="10"/>
  <c r="DA8" i="10"/>
  <c r="CZ8" i="10"/>
  <c r="CY8" i="10"/>
  <c r="CX8" i="10"/>
  <c r="CW25" i="10"/>
  <c r="CV25" i="10"/>
  <c r="CU25" i="10"/>
  <c r="CT25" i="10"/>
  <c r="CS25" i="10"/>
  <c r="CR25" i="10"/>
  <c r="CQ25" i="10"/>
  <c r="CP25" i="10"/>
  <c r="CO25" i="10"/>
  <c r="CN25" i="10"/>
  <c r="CM25" i="10"/>
  <c r="CL25" i="10"/>
  <c r="CK25" i="10"/>
  <c r="CJ25" i="10"/>
  <c r="CI25" i="10"/>
  <c r="CH25" i="10"/>
  <c r="CG25" i="10"/>
  <c r="CF25" i="10"/>
  <c r="CE25" i="10"/>
  <c r="CD25" i="10"/>
  <c r="CW24" i="10"/>
  <c r="CV24" i="10"/>
  <c r="CU24" i="10"/>
  <c r="CT24" i="10"/>
  <c r="CS24" i="10"/>
  <c r="CR24" i="10"/>
  <c r="CQ24" i="10"/>
  <c r="CP24" i="10"/>
  <c r="CO24" i="10"/>
  <c r="CN24" i="10"/>
  <c r="CM24" i="10"/>
  <c r="CL24" i="10"/>
  <c r="CK24" i="10"/>
  <c r="CJ24" i="10"/>
  <c r="CI24" i="10"/>
  <c r="CH24" i="10"/>
  <c r="CG24" i="10"/>
  <c r="CF24" i="10"/>
  <c r="CE24" i="10"/>
  <c r="CD24" i="10"/>
  <c r="CW23" i="10"/>
  <c r="CV23" i="10"/>
  <c r="CU23" i="10"/>
  <c r="CT23" i="10"/>
  <c r="CS23" i="10"/>
  <c r="CR23" i="10"/>
  <c r="CQ23" i="10"/>
  <c r="CP23" i="10"/>
  <c r="CO23" i="10"/>
  <c r="CN23" i="10"/>
  <c r="CM23" i="10"/>
  <c r="CL23" i="10"/>
  <c r="CK23" i="10"/>
  <c r="CJ23" i="10"/>
  <c r="CI23" i="10"/>
  <c r="CH23" i="10"/>
  <c r="CG23" i="10"/>
  <c r="CF23" i="10"/>
  <c r="CE23" i="10"/>
  <c r="CD23" i="10"/>
  <c r="CW22" i="10"/>
  <c r="CV22" i="10"/>
  <c r="CU22" i="10"/>
  <c r="CT22" i="10"/>
  <c r="CS22" i="10"/>
  <c r="CR22" i="10"/>
  <c r="CQ22" i="10"/>
  <c r="CP22" i="10"/>
  <c r="CO22" i="10"/>
  <c r="CN22" i="10"/>
  <c r="CM22" i="10"/>
  <c r="CL22" i="10"/>
  <c r="CK22" i="10"/>
  <c r="CJ22" i="10"/>
  <c r="CI22" i="10"/>
  <c r="CH22" i="10"/>
  <c r="CG22" i="10"/>
  <c r="CF22" i="10"/>
  <c r="CE22" i="10"/>
  <c r="CD22" i="10"/>
  <c r="CW21" i="10"/>
  <c r="CV21" i="10"/>
  <c r="CU21" i="10"/>
  <c r="CT21" i="10"/>
  <c r="CS21" i="10"/>
  <c r="CR21" i="10"/>
  <c r="CQ21" i="10"/>
  <c r="CP21" i="10"/>
  <c r="CO21" i="10"/>
  <c r="CN21" i="10"/>
  <c r="CM21" i="10"/>
  <c r="CL21" i="10"/>
  <c r="CK21" i="10"/>
  <c r="CJ21" i="10"/>
  <c r="CI21" i="10"/>
  <c r="CH21" i="10"/>
  <c r="CG21" i="10"/>
  <c r="CF21" i="10"/>
  <c r="CE21" i="10"/>
  <c r="CD21" i="10"/>
  <c r="CW20" i="10"/>
  <c r="CV20" i="10"/>
  <c r="CU20" i="10"/>
  <c r="CT20" i="10"/>
  <c r="CS20" i="10"/>
  <c r="CR20" i="10"/>
  <c r="CQ20" i="10"/>
  <c r="CP20" i="10"/>
  <c r="CO20" i="10"/>
  <c r="CN20" i="10"/>
  <c r="CM20" i="10"/>
  <c r="CL20" i="10"/>
  <c r="CK20" i="10"/>
  <c r="CJ20" i="10"/>
  <c r="CI20" i="10"/>
  <c r="CH20" i="10"/>
  <c r="CG20" i="10"/>
  <c r="CF20" i="10"/>
  <c r="CE20" i="10"/>
  <c r="CD20" i="10"/>
  <c r="CW19" i="10"/>
  <c r="CV19" i="10"/>
  <c r="CU19" i="10"/>
  <c r="CT19" i="10"/>
  <c r="CS19" i="10"/>
  <c r="CR19" i="10"/>
  <c r="CQ19" i="10"/>
  <c r="CP19" i="10"/>
  <c r="CO19" i="10"/>
  <c r="CN19" i="10"/>
  <c r="CM19" i="10"/>
  <c r="CL19" i="10"/>
  <c r="CK19" i="10"/>
  <c r="CJ19" i="10"/>
  <c r="CI19" i="10"/>
  <c r="CH19" i="10"/>
  <c r="CG19" i="10"/>
  <c r="CF19" i="10"/>
  <c r="CE19" i="10"/>
  <c r="CD19" i="10"/>
  <c r="CW18" i="10"/>
  <c r="CV18" i="10"/>
  <c r="CU18" i="10"/>
  <c r="CT18" i="10"/>
  <c r="CS18" i="10"/>
  <c r="CR18" i="10"/>
  <c r="CQ18" i="10"/>
  <c r="CP18" i="10"/>
  <c r="CO18" i="10"/>
  <c r="CN18" i="10"/>
  <c r="CM18" i="10"/>
  <c r="CL18" i="10"/>
  <c r="CK18" i="10"/>
  <c r="CJ18" i="10"/>
  <c r="CI18" i="10"/>
  <c r="CH18" i="10"/>
  <c r="CG18" i="10"/>
  <c r="CF18" i="10"/>
  <c r="CE18" i="10"/>
  <c r="CD18" i="10"/>
  <c r="CW17" i="10"/>
  <c r="CV17" i="10"/>
  <c r="CU17" i="10"/>
  <c r="CT17" i="10"/>
  <c r="CS17" i="10"/>
  <c r="CR17" i="10"/>
  <c r="CQ17" i="10"/>
  <c r="CP17" i="10"/>
  <c r="CO17" i="10"/>
  <c r="CN17" i="10"/>
  <c r="CM17" i="10"/>
  <c r="CL17" i="10"/>
  <c r="CK17" i="10"/>
  <c r="CJ17" i="10"/>
  <c r="CI17" i="10"/>
  <c r="CH17" i="10"/>
  <c r="CG17" i="10"/>
  <c r="CF17" i="10"/>
  <c r="CE17" i="10"/>
  <c r="CD17" i="10"/>
  <c r="CW16" i="10"/>
  <c r="CV16" i="10"/>
  <c r="CU16" i="10"/>
  <c r="CT16" i="10"/>
  <c r="CS16" i="10"/>
  <c r="CR16" i="10"/>
  <c r="CQ16" i="10"/>
  <c r="CP16" i="10"/>
  <c r="CO16" i="10"/>
  <c r="CN16" i="10"/>
  <c r="CM16" i="10"/>
  <c r="CL16" i="10"/>
  <c r="CK16" i="10"/>
  <c r="CJ16" i="10"/>
  <c r="CI16" i="10"/>
  <c r="CH16" i="10"/>
  <c r="CG16" i="10"/>
  <c r="CF16" i="10"/>
  <c r="CE16" i="10"/>
  <c r="CD16" i="10"/>
  <c r="CW15" i="10"/>
  <c r="CV15" i="10"/>
  <c r="CU15" i="10"/>
  <c r="CT15" i="10"/>
  <c r="CS15" i="10"/>
  <c r="CR15" i="10"/>
  <c r="CQ15" i="10"/>
  <c r="CP15" i="10"/>
  <c r="CO15" i="10"/>
  <c r="CN15" i="10"/>
  <c r="CM15" i="10"/>
  <c r="CL15" i="10"/>
  <c r="CK15" i="10"/>
  <c r="CJ15" i="10"/>
  <c r="CI15" i="10"/>
  <c r="CH15" i="10"/>
  <c r="CG15" i="10"/>
  <c r="CF15" i="10"/>
  <c r="CE15" i="10"/>
  <c r="CD15" i="10"/>
  <c r="CW14" i="10"/>
  <c r="CV14" i="10"/>
  <c r="CU14" i="10"/>
  <c r="CT14" i="10"/>
  <c r="CS14" i="10"/>
  <c r="CR14" i="10"/>
  <c r="CQ14" i="10"/>
  <c r="CP14" i="10"/>
  <c r="CO14" i="10"/>
  <c r="CN14" i="10"/>
  <c r="CM14" i="10"/>
  <c r="CL14" i="10"/>
  <c r="CK14" i="10"/>
  <c r="CJ14" i="10"/>
  <c r="CI14" i="10"/>
  <c r="CH14" i="10"/>
  <c r="CG14" i="10"/>
  <c r="CF14" i="10"/>
  <c r="CE14" i="10"/>
  <c r="CD14" i="10"/>
  <c r="CW13" i="10"/>
  <c r="CV13" i="10"/>
  <c r="CU13" i="10"/>
  <c r="CT13" i="10"/>
  <c r="CS13" i="10"/>
  <c r="CR13" i="10"/>
  <c r="CQ13" i="10"/>
  <c r="CP13" i="10"/>
  <c r="CO13" i="10"/>
  <c r="CN13" i="10"/>
  <c r="CM13" i="10"/>
  <c r="CL13" i="10"/>
  <c r="CK13" i="10"/>
  <c r="CJ13" i="10"/>
  <c r="CI13" i="10"/>
  <c r="CH13" i="10"/>
  <c r="CG13" i="10"/>
  <c r="CF13" i="10"/>
  <c r="CE13" i="10"/>
  <c r="CD13" i="10"/>
  <c r="CW12" i="10"/>
  <c r="CV12" i="10"/>
  <c r="CU12" i="10"/>
  <c r="CT12" i="10"/>
  <c r="CS12" i="10"/>
  <c r="CR12" i="10"/>
  <c r="CQ12" i="10"/>
  <c r="CP12" i="10"/>
  <c r="CO12" i="10"/>
  <c r="CN12" i="10"/>
  <c r="CM12" i="10"/>
  <c r="CL12" i="10"/>
  <c r="CK12" i="10"/>
  <c r="CJ12" i="10"/>
  <c r="CI12" i="10"/>
  <c r="CH12" i="10"/>
  <c r="CG12" i="10"/>
  <c r="CF12" i="10"/>
  <c r="CE12" i="10"/>
  <c r="CD12" i="10"/>
  <c r="CW11" i="10"/>
  <c r="CV11" i="10"/>
  <c r="CU11" i="10"/>
  <c r="CT11" i="10"/>
  <c r="CS11" i="10"/>
  <c r="CR11" i="10"/>
  <c r="CQ11" i="10"/>
  <c r="CP11" i="10"/>
  <c r="CO11" i="10"/>
  <c r="CN11" i="10"/>
  <c r="CM11" i="10"/>
  <c r="CL11" i="10"/>
  <c r="CK11" i="10"/>
  <c r="CJ11" i="10"/>
  <c r="CI11" i="10"/>
  <c r="CH11" i="10"/>
  <c r="CG11" i="10"/>
  <c r="CF11" i="10"/>
  <c r="CE11" i="10"/>
  <c r="CD11" i="10"/>
  <c r="CW10" i="10"/>
  <c r="CV10" i="10"/>
  <c r="CU10" i="10"/>
  <c r="CT10" i="10"/>
  <c r="CS10" i="10"/>
  <c r="CR10" i="10"/>
  <c r="CQ10" i="10"/>
  <c r="CP10" i="10"/>
  <c r="CO10" i="10"/>
  <c r="CN10" i="10"/>
  <c r="CM10" i="10"/>
  <c r="CL10" i="10"/>
  <c r="CK10" i="10"/>
  <c r="CJ10" i="10"/>
  <c r="CI10" i="10"/>
  <c r="CH10" i="10"/>
  <c r="CG10" i="10"/>
  <c r="CF10" i="10"/>
  <c r="CE10" i="10"/>
  <c r="CD10" i="10"/>
  <c r="CW9" i="10"/>
  <c r="CV9" i="10"/>
  <c r="CU9" i="10"/>
  <c r="CT9" i="10"/>
  <c r="CS9" i="10"/>
  <c r="CR9" i="10"/>
  <c r="CQ9" i="10"/>
  <c r="CP9" i="10"/>
  <c r="CO9" i="10"/>
  <c r="CN9" i="10"/>
  <c r="CM9" i="10"/>
  <c r="CL9" i="10"/>
  <c r="CK9" i="10"/>
  <c r="CJ9" i="10"/>
  <c r="CI9" i="10"/>
  <c r="CH9" i="10"/>
  <c r="CG9" i="10"/>
  <c r="CF9" i="10"/>
  <c r="CE9" i="10"/>
  <c r="CD9" i="10"/>
  <c r="CW8" i="10"/>
  <c r="CV8" i="10"/>
  <c r="CU8" i="10"/>
  <c r="CT8" i="10"/>
  <c r="CS8" i="10"/>
  <c r="CR8" i="10"/>
  <c r="CQ8" i="10"/>
  <c r="CP8" i="10"/>
  <c r="CO8" i="10"/>
  <c r="CN8" i="10"/>
  <c r="CM8" i="10"/>
  <c r="CL8" i="10"/>
  <c r="CK8" i="10"/>
  <c r="CJ8" i="10"/>
  <c r="CI8" i="10"/>
  <c r="CH8" i="10"/>
  <c r="CG8" i="10"/>
  <c r="CF8" i="10"/>
  <c r="CE8" i="10"/>
  <c r="CD8" i="10"/>
  <c r="CC25" i="10"/>
  <c r="CB25" i="10"/>
  <c r="CA25" i="10"/>
  <c r="BZ25" i="10"/>
  <c r="BY25" i="10"/>
  <c r="BX25" i="10"/>
  <c r="BW25" i="10"/>
  <c r="BV25" i="10"/>
  <c r="BU25" i="10"/>
  <c r="BT25" i="10"/>
  <c r="BS25" i="10"/>
  <c r="BR25" i="10"/>
  <c r="BQ25" i="10"/>
  <c r="BP25" i="10"/>
  <c r="BO25" i="10"/>
  <c r="BN25" i="10"/>
  <c r="BM25" i="10"/>
  <c r="BL25" i="10"/>
  <c r="CC24" i="10"/>
  <c r="CB24" i="10"/>
  <c r="CA24" i="10"/>
  <c r="BZ24" i="10"/>
  <c r="BY24" i="10"/>
  <c r="BX24" i="10"/>
  <c r="BW24" i="10"/>
  <c r="BV24" i="10"/>
  <c r="BU24" i="10"/>
  <c r="BT24" i="10"/>
  <c r="BS24" i="10"/>
  <c r="BR24" i="10"/>
  <c r="BQ24" i="10"/>
  <c r="BP24" i="10"/>
  <c r="BO24" i="10"/>
  <c r="BN24" i="10"/>
  <c r="BM24" i="10"/>
  <c r="BL24" i="10"/>
  <c r="CC23" i="10"/>
  <c r="CB23" i="10"/>
  <c r="CA23" i="10"/>
  <c r="BZ23" i="10"/>
  <c r="BY23" i="10"/>
  <c r="BX23" i="10"/>
  <c r="BW23" i="10"/>
  <c r="BV23" i="10"/>
  <c r="BU23" i="10"/>
  <c r="BT23" i="10"/>
  <c r="BS23" i="10"/>
  <c r="BR23" i="10"/>
  <c r="BQ23" i="10"/>
  <c r="BP23" i="10"/>
  <c r="BO23" i="10"/>
  <c r="BN23" i="10"/>
  <c r="BM23" i="10"/>
  <c r="BL23" i="10"/>
  <c r="CC22" i="10"/>
  <c r="CB22" i="10"/>
  <c r="CA22" i="10"/>
  <c r="BZ22" i="10"/>
  <c r="BY22" i="10"/>
  <c r="BX22" i="10"/>
  <c r="BW22" i="10"/>
  <c r="BV22" i="10"/>
  <c r="BU22" i="10"/>
  <c r="BT22" i="10"/>
  <c r="BS22" i="10"/>
  <c r="BR22" i="10"/>
  <c r="BQ22" i="10"/>
  <c r="BP22" i="10"/>
  <c r="BO22" i="10"/>
  <c r="BN22" i="10"/>
  <c r="BM22" i="10"/>
  <c r="BL22" i="10"/>
  <c r="CC21" i="10"/>
  <c r="CB21" i="10"/>
  <c r="CA21" i="10"/>
  <c r="BZ21" i="10"/>
  <c r="BY21" i="10"/>
  <c r="BX21" i="10"/>
  <c r="BW21" i="10"/>
  <c r="BV21" i="10"/>
  <c r="BU21" i="10"/>
  <c r="BT21" i="10"/>
  <c r="BS21" i="10"/>
  <c r="BR21" i="10"/>
  <c r="BQ21" i="10"/>
  <c r="BP21" i="10"/>
  <c r="BO21" i="10"/>
  <c r="BN21" i="10"/>
  <c r="BM21" i="10"/>
  <c r="BL21" i="10"/>
  <c r="CC20" i="10"/>
  <c r="CB20" i="10"/>
  <c r="CA20" i="10"/>
  <c r="BZ20" i="10"/>
  <c r="BY20" i="10"/>
  <c r="BX20" i="10"/>
  <c r="BW20" i="10"/>
  <c r="BV20" i="10"/>
  <c r="BU20" i="10"/>
  <c r="BT20" i="10"/>
  <c r="BS20" i="10"/>
  <c r="BR20" i="10"/>
  <c r="BQ20" i="10"/>
  <c r="BP20" i="10"/>
  <c r="BO20" i="10"/>
  <c r="BN20" i="10"/>
  <c r="BM20" i="10"/>
  <c r="BL20" i="10"/>
  <c r="CC19" i="10"/>
  <c r="CB19" i="10"/>
  <c r="CA19" i="10"/>
  <c r="BZ19" i="10"/>
  <c r="BY19" i="10"/>
  <c r="BX19" i="10"/>
  <c r="BW19" i="10"/>
  <c r="BV19" i="10"/>
  <c r="BU19" i="10"/>
  <c r="BT19" i="10"/>
  <c r="BS19" i="10"/>
  <c r="BR19" i="10"/>
  <c r="BQ19" i="10"/>
  <c r="BP19" i="10"/>
  <c r="BO19" i="10"/>
  <c r="BN19" i="10"/>
  <c r="BM19" i="10"/>
  <c r="BL19" i="10"/>
  <c r="CC18" i="10"/>
  <c r="CB18" i="10"/>
  <c r="CA18" i="10"/>
  <c r="BZ18" i="10"/>
  <c r="BY18" i="10"/>
  <c r="BX18" i="10"/>
  <c r="BW18" i="10"/>
  <c r="BV18" i="10"/>
  <c r="BU18" i="10"/>
  <c r="BT18" i="10"/>
  <c r="BS18" i="10"/>
  <c r="BR18" i="10"/>
  <c r="BQ18" i="10"/>
  <c r="BP18" i="10"/>
  <c r="BO18" i="10"/>
  <c r="BN18" i="10"/>
  <c r="BM18" i="10"/>
  <c r="BL18" i="10"/>
  <c r="CC17" i="10"/>
  <c r="CB17" i="10"/>
  <c r="CA17" i="10"/>
  <c r="BZ17" i="10"/>
  <c r="BY17" i="10"/>
  <c r="BX17" i="10"/>
  <c r="BW17" i="10"/>
  <c r="BV17" i="10"/>
  <c r="BU17" i="10"/>
  <c r="BT17" i="10"/>
  <c r="BS17" i="10"/>
  <c r="BR17" i="10"/>
  <c r="BQ17" i="10"/>
  <c r="BP17" i="10"/>
  <c r="BO17" i="10"/>
  <c r="BN17" i="10"/>
  <c r="BM17" i="10"/>
  <c r="BL17" i="10"/>
  <c r="CC16" i="10"/>
  <c r="CB16" i="10"/>
  <c r="CA16" i="10"/>
  <c r="BZ16" i="10"/>
  <c r="BY16" i="10"/>
  <c r="BX16" i="10"/>
  <c r="BW16" i="10"/>
  <c r="BV16" i="10"/>
  <c r="BU16" i="10"/>
  <c r="BT16" i="10"/>
  <c r="BS16" i="10"/>
  <c r="BR16" i="10"/>
  <c r="BQ16" i="10"/>
  <c r="BP16" i="10"/>
  <c r="BO16" i="10"/>
  <c r="BN16" i="10"/>
  <c r="BM16" i="10"/>
  <c r="BL16" i="10"/>
  <c r="CC15" i="10"/>
  <c r="CB15" i="10"/>
  <c r="CA15" i="10"/>
  <c r="BZ15" i="10"/>
  <c r="BY15" i="10"/>
  <c r="BX15" i="10"/>
  <c r="BW15" i="10"/>
  <c r="BV15" i="10"/>
  <c r="BU15" i="10"/>
  <c r="BT15" i="10"/>
  <c r="BS15" i="10"/>
  <c r="BR15" i="10"/>
  <c r="BQ15" i="10"/>
  <c r="BP15" i="10"/>
  <c r="BO15" i="10"/>
  <c r="BN15" i="10"/>
  <c r="BM15" i="10"/>
  <c r="BL15" i="10"/>
  <c r="CC14" i="10"/>
  <c r="CB14" i="10"/>
  <c r="CA14" i="10"/>
  <c r="BZ14" i="10"/>
  <c r="BY14" i="10"/>
  <c r="BX14" i="10"/>
  <c r="BW14" i="10"/>
  <c r="BV14" i="10"/>
  <c r="BU14" i="10"/>
  <c r="BT14" i="10"/>
  <c r="BS14" i="10"/>
  <c r="BR14" i="10"/>
  <c r="BQ14" i="10"/>
  <c r="BP14" i="10"/>
  <c r="BO14" i="10"/>
  <c r="BN14" i="10"/>
  <c r="BM14" i="10"/>
  <c r="BL14" i="10"/>
  <c r="CC13" i="10"/>
  <c r="CB13" i="10"/>
  <c r="CA13" i="10"/>
  <c r="BZ13" i="10"/>
  <c r="BY13" i="10"/>
  <c r="BX13" i="10"/>
  <c r="BW13" i="10"/>
  <c r="BV13" i="10"/>
  <c r="BU13" i="10"/>
  <c r="BT13" i="10"/>
  <c r="BS13" i="10"/>
  <c r="BR13" i="10"/>
  <c r="BQ13" i="10"/>
  <c r="BP13" i="10"/>
  <c r="BO13" i="10"/>
  <c r="BN13" i="10"/>
  <c r="BM13" i="10"/>
  <c r="BL13" i="10"/>
  <c r="CC12" i="10"/>
  <c r="CB12" i="10"/>
  <c r="CA12" i="10"/>
  <c r="BZ12" i="10"/>
  <c r="BY12" i="10"/>
  <c r="BX12" i="10"/>
  <c r="BW12" i="10"/>
  <c r="BV12" i="10"/>
  <c r="BU12" i="10"/>
  <c r="BT12" i="10"/>
  <c r="BS12" i="10"/>
  <c r="BR12" i="10"/>
  <c r="BQ12" i="10"/>
  <c r="BP12" i="10"/>
  <c r="BO12" i="10"/>
  <c r="BN12" i="10"/>
  <c r="BM12" i="10"/>
  <c r="BL12" i="10"/>
  <c r="CC11" i="10"/>
  <c r="CB11" i="10"/>
  <c r="CA11" i="10"/>
  <c r="BZ11" i="10"/>
  <c r="BY11" i="10"/>
  <c r="BX11" i="10"/>
  <c r="BW11" i="10"/>
  <c r="BV11" i="10"/>
  <c r="BU11" i="10"/>
  <c r="BT11" i="10"/>
  <c r="BS11" i="10"/>
  <c r="BR11" i="10"/>
  <c r="BQ11" i="10"/>
  <c r="BP11" i="10"/>
  <c r="BO11" i="10"/>
  <c r="BN11" i="10"/>
  <c r="BM11" i="10"/>
  <c r="BL11" i="10"/>
  <c r="CC10" i="10"/>
  <c r="CB10" i="10"/>
  <c r="CA10" i="10"/>
  <c r="BZ10" i="10"/>
  <c r="BY10" i="10"/>
  <c r="BX10" i="10"/>
  <c r="BW10" i="10"/>
  <c r="BV10" i="10"/>
  <c r="BU10" i="10"/>
  <c r="BT10" i="10"/>
  <c r="BS10" i="10"/>
  <c r="BR10" i="10"/>
  <c r="BQ10" i="10"/>
  <c r="BP10" i="10"/>
  <c r="BO10" i="10"/>
  <c r="BN10" i="10"/>
  <c r="BM10" i="10"/>
  <c r="BL10" i="10"/>
  <c r="CC9" i="10"/>
  <c r="CB9" i="10"/>
  <c r="CA9" i="10"/>
  <c r="BZ9" i="10"/>
  <c r="BY9" i="10"/>
  <c r="BX9" i="10"/>
  <c r="BW9" i="10"/>
  <c r="BV9" i="10"/>
  <c r="BU9" i="10"/>
  <c r="BT9" i="10"/>
  <c r="BS9" i="10"/>
  <c r="BR9" i="10"/>
  <c r="BQ9" i="10"/>
  <c r="BP9" i="10"/>
  <c r="BO9" i="10"/>
  <c r="BN9" i="10"/>
  <c r="BM9" i="10"/>
  <c r="BL9" i="10"/>
  <c r="CC8" i="10"/>
  <c r="CB8" i="10"/>
  <c r="CA8" i="10"/>
  <c r="BZ8" i="10"/>
  <c r="BY8" i="10"/>
  <c r="BX8" i="10"/>
  <c r="BW8" i="10"/>
  <c r="BV8" i="10"/>
  <c r="BU8" i="10"/>
  <c r="BT8" i="10"/>
  <c r="BS8" i="10"/>
  <c r="BR8" i="10"/>
  <c r="BQ8" i="10"/>
  <c r="BP8" i="10"/>
  <c r="BO8" i="10"/>
  <c r="BN8" i="10"/>
  <c r="BM8" i="10"/>
  <c r="BL8" i="10"/>
  <c r="BK25" i="10"/>
  <c r="BJ25" i="10"/>
  <c r="BI25" i="10"/>
  <c r="BH25" i="10"/>
  <c r="BG25" i="10"/>
  <c r="BF25" i="10"/>
  <c r="BE25" i="10"/>
  <c r="BD25" i="10"/>
  <c r="BC25" i="10"/>
  <c r="BB25" i="10"/>
  <c r="BA25" i="10"/>
  <c r="AZ25" i="10"/>
  <c r="AY25" i="10"/>
  <c r="AX25" i="10"/>
  <c r="AW25" i="10"/>
  <c r="AV25" i="10"/>
  <c r="AU25" i="10"/>
  <c r="AT25" i="10"/>
  <c r="AS25" i="10"/>
  <c r="AR25" i="10"/>
  <c r="BK24" i="10"/>
  <c r="BJ24" i="10"/>
  <c r="BI24" i="10"/>
  <c r="BH24" i="10"/>
  <c r="BG24" i="10"/>
  <c r="BF24" i="10"/>
  <c r="BE24" i="10"/>
  <c r="BD24" i="10"/>
  <c r="BC24" i="10"/>
  <c r="BB24" i="10"/>
  <c r="BA24" i="10"/>
  <c r="AZ24" i="10"/>
  <c r="AY24" i="10"/>
  <c r="AX24" i="10"/>
  <c r="AW24" i="10"/>
  <c r="AV24" i="10"/>
  <c r="AU24" i="10"/>
  <c r="AT24" i="10"/>
  <c r="AS24" i="10"/>
  <c r="AR24" i="10"/>
  <c r="BK23" i="10"/>
  <c r="BJ23" i="10"/>
  <c r="BI23" i="10"/>
  <c r="BH23" i="10"/>
  <c r="BG23" i="10"/>
  <c r="BF23" i="10"/>
  <c r="BE23" i="10"/>
  <c r="BD23" i="10"/>
  <c r="BC23" i="10"/>
  <c r="BB23" i="10"/>
  <c r="BA23" i="10"/>
  <c r="AZ23" i="10"/>
  <c r="AY23" i="10"/>
  <c r="AX23" i="10"/>
  <c r="AW23" i="10"/>
  <c r="AV23" i="10"/>
  <c r="AU23" i="10"/>
  <c r="AT23" i="10"/>
  <c r="AS23" i="10"/>
  <c r="AR23" i="10"/>
  <c r="BK22" i="10"/>
  <c r="BJ22" i="10"/>
  <c r="BI22" i="10"/>
  <c r="BH22" i="10"/>
  <c r="BG22" i="10"/>
  <c r="BF22" i="10"/>
  <c r="BE22" i="10"/>
  <c r="BD22" i="10"/>
  <c r="BC22" i="10"/>
  <c r="BB22" i="10"/>
  <c r="BA22" i="10"/>
  <c r="AZ22" i="10"/>
  <c r="AY22" i="10"/>
  <c r="AX22" i="10"/>
  <c r="AW22" i="10"/>
  <c r="AV22" i="10"/>
  <c r="AU22" i="10"/>
  <c r="AT22" i="10"/>
  <c r="AS22" i="10"/>
  <c r="AR22" i="10"/>
  <c r="BK21" i="10"/>
  <c r="BJ21" i="10"/>
  <c r="BI21" i="10"/>
  <c r="BH21" i="10"/>
  <c r="BG21" i="10"/>
  <c r="BF21" i="10"/>
  <c r="BE21" i="10"/>
  <c r="BD21" i="10"/>
  <c r="BC21" i="10"/>
  <c r="BB21" i="10"/>
  <c r="BA21" i="10"/>
  <c r="AZ21" i="10"/>
  <c r="AY21" i="10"/>
  <c r="AX21" i="10"/>
  <c r="AW21" i="10"/>
  <c r="AV21" i="10"/>
  <c r="AU21" i="10"/>
  <c r="AT21" i="10"/>
  <c r="AS21" i="10"/>
  <c r="AR21" i="10"/>
  <c r="BK20" i="10"/>
  <c r="BJ20" i="10"/>
  <c r="BI20" i="10"/>
  <c r="BH20" i="10"/>
  <c r="BG20" i="10"/>
  <c r="BF20" i="10"/>
  <c r="BE20" i="10"/>
  <c r="BD20" i="10"/>
  <c r="BC20" i="10"/>
  <c r="BB20" i="10"/>
  <c r="BA20" i="10"/>
  <c r="AZ20" i="10"/>
  <c r="AY20" i="10"/>
  <c r="AX20" i="10"/>
  <c r="AW20" i="10"/>
  <c r="AV20" i="10"/>
  <c r="AU20" i="10"/>
  <c r="AT20" i="10"/>
  <c r="AS20" i="10"/>
  <c r="AR20" i="10"/>
  <c r="BK19" i="10"/>
  <c r="BJ19" i="10"/>
  <c r="BI19" i="10"/>
  <c r="BH19" i="10"/>
  <c r="BG19" i="10"/>
  <c r="BF19" i="10"/>
  <c r="BE19" i="10"/>
  <c r="BD19" i="10"/>
  <c r="BC19" i="10"/>
  <c r="BB19" i="10"/>
  <c r="BA19" i="10"/>
  <c r="AZ19" i="10"/>
  <c r="AY19" i="10"/>
  <c r="AX19" i="10"/>
  <c r="AW19" i="10"/>
  <c r="AV19" i="10"/>
  <c r="AU19" i="10"/>
  <c r="AT19" i="10"/>
  <c r="AS19" i="10"/>
  <c r="AR19" i="10"/>
  <c r="BK18" i="10"/>
  <c r="BJ18" i="10"/>
  <c r="BI18" i="10"/>
  <c r="BH18" i="10"/>
  <c r="BG18" i="10"/>
  <c r="BF18" i="10"/>
  <c r="BE18" i="10"/>
  <c r="BD18" i="10"/>
  <c r="BC18" i="10"/>
  <c r="BB18" i="10"/>
  <c r="BA18" i="10"/>
  <c r="AZ18" i="10"/>
  <c r="AY18" i="10"/>
  <c r="AX18" i="10"/>
  <c r="AW18" i="10"/>
  <c r="AV18" i="10"/>
  <c r="AU18" i="10"/>
  <c r="AT18" i="10"/>
  <c r="AS18" i="10"/>
  <c r="AR18" i="10"/>
  <c r="BK17" i="10"/>
  <c r="BJ17" i="10"/>
  <c r="BI17" i="10"/>
  <c r="BH17" i="10"/>
  <c r="BG17" i="10"/>
  <c r="BF17" i="10"/>
  <c r="BE17" i="10"/>
  <c r="BD17" i="10"/>
  <c r="BC17" i="10"/>
  <c r="BB17" i="10"/>
  <c r="BA17" i="10"/>
  <c r="AZ17" i="10"/>
  <c r="AY17" i="10"/>
  <c r="AX17" i="10"/>
  <c r="AW17" i="10"/>
  <c r="AV17" i="10"/>
  <c r="AU17" i="10"/>
  <c r="AT17" i="10"/>
  <c r="AS17" i="10"/>
  <c r="AR17" i="10"/>
  <c r="BK16" i="10"/>
  <c r="BJ16" i="10"/>
  <c r="BI16" i="10"/>
  <c r="BH16" i="10"/>
  <c r="BG16" i="10"/>
  <c r="BF16" i="10"/>
  <c r="BE16" i="10"/>
  <c r="BD16" i="10"/>
  <c r="BC16" i="10"/>
  <c r="BB16" i="10"/>
  <c r="BA16" i="10"/>
  <c r="AZ16" i="10"/>
  <c r="AY16" i="10"/>
  <c r="AX16" i="10"/>
  <c r="AW16" i="10"/>
  <c r="AV16" i="10"/>
  <c r="AU16" i="10"/>
  <c r="AT16" i="10"/>
  <c r="AS16" i="10"/>
  <c r="AR16" i="10"/>
  <c r="BK15" i="10"/>
  <c r="BJ15" i="10"/>
  <c r="BI15" i="10"/>
  <c r="BH15" i="10"/>
  <c r="BG15" i="10"/>
  <c r="BF15" i="10"/>
  <c r="BE15" i="10"/>
  <c r="BD15" i="10"/>
  <c r="BC15" i="10"/>
  <c r="BB15" i="10"/>
  <c r="BA15" i="10"/>
  <c r="AZ15" i="10"/>
  <c r="AY15" i="10"/>
  <c r="AX15" i="10"/>
  <c r="AW15" i="10"/>
  <c r="AV15" i="10"/>
  <c r="AU15" i="10"/>
  <c r="AT15" i="10"/>
  <c r="AS15" i="10"/>
  <c r="AR15" i="10"/>
  <c r="BK14" i="10"/>
  <c r="BJ14" i="10"/>
  <c r="BI14" i="10"/>
  <c r="BH14" i="10"/>
  <c r="BG14" i="10"/>
  <c r="BF14" i="10"/>
  <c r="BE14" i="10"/>
  <c r="BD14" i="10"/>
  <c r="BC14" i="10"/>
  <c r="BB14" i="10"/>
  <c r="BA14" i="10"/>
  <c r="AZ14" i="10"/>
  <c r="AY14" i="10"/>
  <c r="AX14" i="10"/>
  <c r="AW14" i="10"/>
  <c r="AV14" i="10"/>
  <c r="AU14" i="10"/>
  <c r="AT14" i="10"/>
  <c r="AS14" i="10"/>
  <c r="AR14" i="10"/>
  <c r="BK13" i="10"/>
  <c r="BJ13" i="10"/>
  <c r="BI13" i="10"/>
  <c r="BH13" i="10"/>
  <c r="BG13" i="10"/>
  <c r="BF13" i="10"/>
  <c r="BE13" i="10"/>
  <c r="BD13" i="10"/>
  <c r="BC13" i="10"/>
  <c r="BB13" i="10"/>
  <c r="BA13" i="10"/>
  <c r="AZ13" i="10"/>
  <c r="AY13" i="10"/>
  <c r="AX13" i="10"/>
  <c r="AW13" i="10"/>
  <c r="AV13" i="10"/>
  <c r="AU13" i="10"/>
  <c r="AT13" i="10"/>
  <c r="AS13" i="10"/>
  <c r="AR13" i="10"/>
  <c r="BK12" i="10"/>
  <c r="BJ12" i="10"/>
  <c r="BI12" i="10"/>
  <c r="BH12" i="10"/>
  <c r="BG12" i="10"/>
  <c r="BF12" i="10"/>
  <c r="BE12" i="10"/>
  <c r="BD12" i="10"/>
  <c r="BC12" i="10"/>
  <c r="BB12" i="10"/>
  <c r="BA12" i="10"/>
  <c r="AZ12" i="10"/>
  <c r="AY12" i="10"/>
  <c r="AX12" i="10"/>
  <c r="AW12" i="10"/>
  <c r="AV12" i="10"/>
  <c r="AU12" i="10"/>
  <c r="AT12" i="10"/>
  <c r="AS12" i="10"/>
  <c r="AR12" i="10"/>
  <c r="BK11" i="10"/>
  <c r="BJ11" i="10"/>
  <c r="BI11" i="10"/>
  <c r="BH11" i="10"/>
  <c r="BG11" i="10"/>
  <c r="BF11" i="10"/>
  <c r="BE11" i="10"/>
  <c r="BD11" i="10"/>
  <c r="BC11" i="10"/>
  <c r="BB11" i="10"/>
  <c r="BA11" i="10"/>
  <c r="AZ11" i="10"/>
  <c r="AY11" i="10"/>
  <c r="AX11" i="10"/>
  <c r="AW11" i="10"/>
  <c r="AV11" i="10"/>
  <c r="AU11" i="10"/>
  <c r="AT11" i="10"/>
  <c r="AS11" i="10"/>
  <c r="AR11" i="10"/>
  <c r="BK10" i="10"/>
  <c r="BJ10" i="10"/>
  <c r="BI10" i="10"/>
  <c r="BH10" i="10"/>
  <c r="BG10" i="10"/>
  <c r="BF10" i="10"/>
  <c r="BE10" i="10"/>
  <c r="BD10" i="10"/>
  <c r="BC10" i="10"/>
  <c r="BB10" i="10"/>
  <c r="BA10" i="10"/>
  <c r="AZ10" i="10"/>
  <c r="AY10" i="10"/>
  <c r="AX10" i="10"/>
  <c r="AW10" i="10"/>
  <c r="AV10" i="10"/>
  <c r="AU10" i="10"/>
  <c r="AT10" i="10"/>
  <c r="AS10" i="10"/>
  <c r="AR10" i="10"/>
  <c r="BK9" i="10"/>
  <c r="BJ9" i="10"/>
  <c r="BI9" i="10"/>
  <c r="BH9" i="10"/>
  <c r="BG9" i="10"/>
  <c r="BF9" i="10"/>
  <c r="BE9" i="10"/>
  <c r="BD9" i="10"/>
  <c r="BC9" i="10"/>
  <c r="BB9" i="10"/>
  <c r="BA9" i="10"/>
  <c r="AZ9" i="10"/>
  <c r="AY9" i="10"/>
  <c r="AX9" i="10"/>
  <c r="AW9" i="10"/>
  <c r="AV9" i="10"/>
  <c r="AU9" i="10"/>
  <c r="AT9" i="10"/>
  <c r="AS9" i="10"/>
  <c r="AR9" i="10"/>
  <c r="BK8" i="10"/>
  <c r="BJ8" i="10"/>
  <c r="BI8" i="10"/>
  <c r="BH8" i="10"/>
  <c r="BG8" i="10"/>
  <c r="BF8" i="10"/>
  <c r="BE8" i="10"/>
  <c r="BD8" i="10"/>
  <c r="BC8" i="10"/>
  <c r="BB8" i="10"/>
  <c r="BA8" i="10"/>
  <c r="AZ8" i="10"/>
  <c r="AY8" i="10"/>
  <c r="AX8" i="10"/>
  <c r="AW8" i="10"/>
  <c r="AV8" i="10"/>
  <c r="AU8" i="10"/>
  <c r="AT8" i="10"/>
  <c r="AS8" i="10"/>
  <c r="AR8" i="10"/>
  <c r="AQ25" i="10"/>
  <c r="AQ24" i="10"/>
  <c r="AQ23" i="10"/>
  <c r="AQ22" i="10"/>
  <c r="AQ21" i="10"/>
  <c r="AQ20" i="10"/>
  <c r="AQ19" i="10"/>
  <c r="AQ18" i="10"/>
  <c r="AQ17" i="10"/>
  <c r="AQ16" i="10"/>
  <c r="AQ15" i="10"/>
  <c r="AQ14" i="10"/>
  <c r="AQ13" i="10"/>
  <c r="AQ12" i="10"/>
  <c r="AQ11" i="10"/>
  <c r="AQ10" i="10"/>
  <c r="AQ9" i="10"/>
  <c r="AQ8" i="10"/>
  <c r="AO25" i="10"/>
  <c r="AO24" i="10"/>
  <c r="AO23" i="10"/>
  <c r="AO22" i="10"/>
  <c r="AO21" i="10"/>
  <c r="AO20" i="10"/>
  <c r="AO19" i="10"/>
  <c r="AO18" i="10"/>
  <c r="AO17" i="10"/>
  <c r="AO16" i="10"/>
  <c r="AO15" i="10"/>
  <c r="AO14" i="10"/>
  <c r="AO13" i="10"/>
  <c r="AO12" i="10"/>
  <c r="AO11" i="10"/>
  <c r="AO10" i="10"/>
  <c r="AO9" i="10"/>
  <c r="AO8" i="10"/>
  <c r="AM25" i="10"/>
  <c r="AM24" i="10"/>
  <c r="AM23" i="10"/>
  <c r="AM22" i="10"/>
  <c r="AM21" i="10"/>
  <c r="AM20" i="10"/>
  <c r="AM19" i="10"/>
  <c r="AM18" i="10"/>
  <c r="AM17" i="10"/>
  <c r="AM16" i="10"/>
  <c r="AM15" i="10"/>
  <c r="AM14" i="10"/>
  <c r="AM13" i="10"/>
  <c r="AM12" i="10"/>
  <c r="AM11" i="10"/>
  <c r="AM10" i="10"/>
  <c r="AM9" i="10"/>
  <c r="AM8" i="10"/>
  <c r="AK25" i="10"/>
  <c r="AK24" i="10"/>
  <c r="AK23" i="10"/>
  <c r="AK22" i="10"/>
  <c r="AK21" i="10"/>
  <c r="AK20" i="10"/>
  <c r="AK19" i="10"/>
  <c r="AK18" i="10"/>
  <c r="AK17" i="10"/>
  <c r="AK16" i="10"/>
  <c r="AK15" i="10"/>
  <c r="AK14" i="10"/>
  <c r="AK13" i="10"/>
  <c r="AK12" i="10"/>
  <c r="AK11" i="10"/>
  <c r="AK10" i="10"/>
  <c r="AK9" i="10"/>
  <c r="AK8" i="10"/>
  <c r="AI25" i="10"/>
  <c r="AI24" i="10"/>
  <c r="AI23" i="10"/>
  <c r="AI22" i="10"/>
  <c r="AI21" i="10"/>
  <c r="AI20" i="10"/>
  <c r="AI19" i="10"/>
  <c r="AI18" i="10"/>
  <c r="AI17" i="10"/>
  <c r="AI16" i="10"/>
  <c r="AI15" i="10"/>
  <c r="AI14" i="10"/>
  <c r="AI13" i="10"/>
  <c r="AI12" i="10"/>
  <c r="AI11" i="10"/>
  <c r="AI10" i="10"/>
  <c r="AI9" i="10"/>
  <c r="AI8" i="10"/>
  <c r="AG25" i="10"/>
  <c r="AG24" i="10"/>
  <c r="AG23" i="10"/>
  <c r="AG22" i="10"/>
  <c r="AG21" i="10"/>
  <c r="AG20" i="10"/>
  <c r="AG19" i="10"/>
  <c r="AG18" i="10"/>
  <c r="AG17" i="10"/>
  <c r="AG16" i="10"/>
  <c r="AG15" i="10"/>
  <c r="AG14" i="10"/>
  <c r="AG13" i="10"/>
  <c r="AG12" i="10"/>
  <c r="AG11" i="10"/>
  <c r="AG10" i="10"/>
  <c r="AG9" i="10"/>
  <c r="AG8" i="10"/>
  <c r="AE25" i="10"/>
  <c r="AE24" i="10"/>
  <c r="AE23" i="10"/>
  <c r="AE22" i="10"/>
  <c r="AE21" i="10"/>
  <c r="AE20" i="10"/>
  <c r="AE19" i="10"/>
  <c r="AE18" i="10"/>
  <c r="AE17" i="10"/>
  <c r="AE16" i="10"/>
  <c r="AE15" i="10"/>
  <c r="AE14" i="10"/>
  <c r="AE13" i="10"/>
  <c r="AE12" i="10"/>
  <c r="AE11" i="10"/>
  <c r="AE10" i="10"/>
  <c r="AE9" i="10"/>
  <c r="AE8" i="10"/>
  <c r="AC25" i="10"/>
  <c r="AC24" i="10"/>
  <c r="AC23" i="10"/>
  <c r="AC22" i="10"/>
  <c r="AC21" i="10"/>
  <c r="AC20" i="10"/>
  <c r="AC19" i="10"/>
  <c r="AC18" i="10"/>
  <c r="AC17" i="10"/>
  <c r="AC16" i="10"/>
  <c r="AC15" i="10"/>
  <c r="AC14" i="10"/>
  <c r="AC13" i="10"/>
  <c r="AC12" i="10"/>
  <c r="AC11" i="10"/>
  <c r="AC10" i="10"/>
  <c r="AC9" i="10"/>
  <c r="AC8" i="10"/>
  <c r="AA25" i="10"/>
  <c r="AA24" i="10"/>
  <c r="AA23" i="10"/>
  <c r="AA22" i="10"/>
  <c r="AA21" i="10"/>
  <c r="AA20" i="10"/>
  <c r="AA19" i="10"/>
  <c r="AA18" i="10"/>
  <c r="AA17" i="10"/>
  <c r="AA16" i="10"/>
  <c r="AA15" i="10"/>
  <c r="AA14" i="10"/>
  <c r="AA13" i="10"/>
  <c r="AA12" i="10"/>
  <c r="AA11" i="10"/>
  <c r="AA10" i="10"/>
  <c r="AA9" i="10"/>
  <c r="AA8" i="10"/>
  <c r="Y25" i="10"/>
  <c r="Y24" i="10"/>
  <c r="Y23" i="10"/>
  <c r="Y22" i="10"/>
  <c r="Y21" i="10"/>
  <c r="Y20" i="10"/>
  <c r="Y19" i="10"/>
  <c r="Y18" i="10"/>
  <c r="Y17" i="10"/>
  <c r="Y16" i="10"/>
  <c r="Y15" i="10"/>
  <c r="Y14" i="10"/>
  <c r="Y13" i="10"/>
  <c r="Y12" i="10"/>
  <c r="Y11" i="10"/>
  <c r="Y10" i="10"/>
  <c r="Y9" i="10"/>
  <c r="Y8" i="10"/>
  <c r="W22" i="1" l="1"/>
  <c r="W21" i="1"/>
  <c r="W20" i="1"/>
  <c r="W19" i="1"/>
  <c r="W18" i="1"/>
  <c r="W17" i="1"/>
  <c r="W16" i="1"/>
  <c r="W15" i="1"/>
  <c r="W14" i="1"/>
  <c r="W13" i="1"/>
  <c r="W12" i="1"/>
  <c r="W11" i="1"/>
  <c r="W10" i="1"/>
  <c r="W9" i="1"/>
  <c r="W8" i="1"/>
  <c r="W7" i="1"/>
  <c r="W6" i="1"/>
  <c r="W5" i="1"/>
  <c r="W4" i="1"/>
  <c r="W3" i="1"/>
  <c r="T22" i="1"/>
  <c r="T21" i="1"/>
  <c r="T20" i="1"/>
  <c r="T19" i="1"/>
  <c r="T18" i="1"/>
  <c r="T17" i="1"/>
  <c r="T16" i="1"/>
  <c r="T15" i="1"/>
  <c r="T14" i="1"/>
  <c r="T13" i="1"/>
  <c r="T12" i="1"/>
  <c r="T11" i="1"/>
  <c r="T10" i="1"/>
  <c r="T9" i="1"/>
  <c r="T8" i="1"/>
  <c r="T7" i="1"/>
  <c r="T6" i="1"/>
  <c r="T5" i="1"/>
  <c r="T4" i="1"/>
  <c r="T3" i="1"/>
  <c r="X4" i="10"/>
  <c r="X4" i="5"/>
  <c r="M22" i="1"/>
  <c r="M21" i="1"/>
  <c r="M20" i="1"/>
  <c r="M19" i="1"/>
  <c r="M18" i="1"/>
  <c r="M17" i="1"/>
  <c r="M16" i="1"/>
  <c r="M15" i="1"/>
  <c r="M14" i="1"/>
  <c r="M13" i="1"/>
  <c r="M12" i="1"/>
  <c r="M11" i="1"/>
  <c r="M10" i="1"/>
  <c r="M9" i="1"/>
  <c r="M8" i="1"/>
  <c r="M7" i="1"/>
  <c r="M6" i="1"/>
  <c r="M5" i="1"/>
  <c r="M4" i="1"/>
  <c r="M3" i="1"/>
  <c r="R330" i="2"/>
  <c r="R329" i="2"/>
  <c r="R328" i="2"/>
  <c r="R327" i="2"/>
  <c r="R326" i="2"/>
  <c r="R325" i="2"/>
  <c r="R324" i="2"/>
  <c r="R323" i="2"/>
  <c r="R322" i="2"/>
  <c r="R321" i="2"/>
  <c r="R320" i="2"/>
  <c r="R319" i="2"/>
  <c r="R318" i="2"/>
  <c r="R317" i="2"/>
  <c r="R316" i="2"/>
  <c r="R315" i="2"/>
  <c r="R314" i="2"/>
  <c r="R313" i="2"/>
  <c r="R312" i="2"/>
  <c r="R311" i="2"/>
  <c r="R310" i="2"/>
  <c r="R309" i="2"/>
  <c r="R308" i="2"/>
  <c r="R307" i="2"/>
  <c r="R306" i="2"/>
  <c r="R305" i="2"/>
  <c r="R304" i="2"/>
  <c r="R303" i="2"/>
  <c r="R302" i="2"/>
  <c r="R301" i="2"/>
  <c r="R300" i="2"/>
  <c r="R299" i="2"/>
  <c r="R298" i="2"/>
  <c r="R297" i="2"/>
  <c r="R296" i="2"/>
  <c r="R295" i="2"/>
  <c r="R294" i="2"/>
  <c r="R293" i="2"/>
  <c r="R292" i="2"/>
  <c r="R291" i="2"/>
  <c r="R290" i="2"/>
  <c r="R289" i="2"/>
  <c r="R288" i="2"/>
  <c r="R287" i="2"/>
  <c r="R286" i="2"/>
  <c r="R285" i="2"/>
  <c r="R284" i="2"/>
  <c r="R283" i="2"/>
  <c r="R282" i="2"/>
  <c r="R281" i="2"/>
  <c r="R280" i="2"/>
  <c r="R279" i="2"/>
  <c r="R278" i="2"/>
  <c r="R277" i="2"/>
  <c r="R276" i="2"/>
  <c r="R275" i="2"/>
  <c r="R274" i="2"/>
  <c r="R273" i="2"/>
  <c r="R272" i="2"/>
  <c r="R271" i="2"/>
  <c r="R270" i="2"/>
  <c r="R269" i="2"/>
  <c r="R268" i="2"/>
  <c r="R267" i="2"/>
  <c r="R266" i="2"/>
  <c r="R265" i="2"/>
  <c r="R264" i="2"/>
  <c r="R263" i="2"/>
  <c r="R262" i="2"/>
  <c r="R261" i="2"/>
  <c r="R260" i="2"/>
  <c r="R259" i="2"/>
  <c r="R258" i="2"/>
  <c r="R257" i="2"/>
  <c r="R256" i="2"/>
  <c r="R255" i="2"/>
  <c r="R254" i="2"/>
  <c r="R253" i="2"/>
  <c r="R252" i="2"/>
  <c r="R251" i="2"/>
  <c r="R250" i="2"/>
  <c r="R249" i="2"/>
  <c r="R248" i="2"/>
  <c r="R247" i="2"/>
  <c r="R246" i="2"/>
  <c r="R245" i="2"/>
  <c r="R244" i="2"/>
  <c r="R243" i="2"/>
  <c r="R242" i="2"/>
  <c r="R241" i="2"/>
  <c r="R240" i="2"/>
  <c r="R239" i="2"/>
  <c r="R238" i="2"/>
  <c r="R237" i="2"/>
  <c r="R236" i="2"/>
  <c r="R235" i="2"/>
  <c r="R234" i="2"/>
  <c r="R233" i="2"/>
  <c r="R232" i="2"/>
  <c r="R231" i="2"/>
  <c r="R230" i="2"/>
  <c r="R229" i="2"/>
  <c r="R228" i="2"/>
  <c r="R227" i="2"/>
  <c r="R226" i="2"/>
  <c r="R225" i="2"/>
  <c r="R224" i="2"/>
  <c r="R223" i="2"/>
  <c r="R222" i="2"/>
  <c r="R221" i="2"/>
  <c r="R220" i="2"/>
  <c r="R219" i="2"/>
  <c r="R218" i="2"/>
  <c r="R217" i="2"/>
  <c r="R216" i="2"/>
  <c r="R215" i="2"/>
  <c r="R214" i="2"/>
  <c r="R213" i="2"/>
  <c r="R212" i="2"/>
  <c r="R211" i="2"/>
  <c r="R210" i="2"/>
  <c r="R209" i="2"/>
  <c r="R208" i="2"/>
  <c r="R207" i="2"/>
  <c r="R206" i="2"/>
  <c r="R205" i="2"/>
  <c r="R204" i="2"/>
  <c r="R203" i="2"/>
  <c r="R202" i="2"/>
  <c r="R201" i="2"/>
  <c r="R200" i="2"/>
  <c r="R199" i="2"/>
  <c r="R198" i="2"/>
  <c r="R197" i="2"/>
  <c r="R196" i="2"/>
  <c r="R195" i="2"/>
  <c r="R194" i="2"/>
  <c r="R193" i="2"/>
  <c r="R192" i="2"/>
  <c r="R191" i="2"/>
  <c r="R190" i="2"/>
  <c r="R189" i="2"/>
  <c r="R188" i="2"/>
  <c r="R187" i="2"/>
  <c r="R186" i="2"/>
  <c r="R185" i="2"/>
  <c r="R184" i="2"/>
  <c r="R183" i="2"/>
  <c r="R182" i="2"/>
  <c r="R181" i="2"/>
  <c r="R180" i="2"/>
  <c r="R179" i="2"/>
  <c r="R178" i="2"/>
  <c r="R177" i="2"/>
  <c r="R176" i="2"/>
  <c r="R175" i="2"/>
  <c r="R174" i="2"/>
  <c r="R173" i="2"/>
  <c r="R172" i="2"/>
  <c r="R171" i="2"/>
  <c r="R170" i="2"/>
  <c r="R169" i="2"/>
  <c r="R168" i="2"/>
  <c r="R167" i="2"/>
  <c r="R166" i="2"/>
  <c r="R165" i="2"/>
  <c r="R164" i="2"/>
  <c r="R163" i="2"/>
  <c r="R162" i="2"/>
  <c r="R161" i="2"/>
  <c r="R160" i="2"/>
  <c r="R159" i="2"/>
  <c r="R158" i="2"/>
  <c r="R157" i="2"/>
  <c r="R156" i="2"/>
  <c r="R155" i="2"/>
  <c r="R154" i="2"/>
  <c r="R153" i="2"/>
  <c r="R152" i="2"/>
  <c r="R151" i="2"/>
  <c r="R150" i="2"/>
  <c r="R149" i="2"/>
  <c r="R148" i="2"/>
  <c r="R147" i="2"/>
  <c r="R146" i="2"/>
  <c r="R145" i="2"/>
  <c r="R144" i="2"/>
  <c r="R143" i="2"/>
  <c r="R142" i="2"/>
  <c r="R141" i="2"/>
  <c r="R140" i="2"/>
  <c r="R139" i="2"/>
  <c r="R138" i="2"/>
  <c r="R137" i="2"/>
  <c r="R136" i="2"/>
  <c r="R135" i="2"/>
  <c r="R134" i="2"/>
  <c r="R133" i="2"/>
  <c r="R132" i="2"/>
  <c r="R131" i="2"/>
  <c r="R130" i="2"/>
  <c r="R129" i="2"/>
  <c r="R128" i="2"/>
  <c r="R127" i="2"/>
  <c r="R126" i="2"/>
  <c r="R125" i="2"/>
  <c r="R124" i="2"/>
  <c r="R123" i="2"/>
  <c r="R122" i="2"/>
  <c r="R121" i="2"/>
  <c r="R120" i="2"/>
  <c r="R119" i="2"/>
  <c r="R118" i="2"/>
  <c r="R117" i="2"/>
  <c r="R116" i="2"/>
  <c r="R115" i="2"/>
  <c r="R114" i="2"/>
  <c r="R113" i="2"/>
  <c r="R112" i="2"/>
  <c r="R111" i="2"/>
  <c r="R110" i="2"/>
  <c r="R109" i="2"/>
  <c r="R108" i="2"/>
  <c r="R107" i="2"/>
  <c r="R106" i="2"/>
  <c r="R105" i="2"/>
  <c r="R104" i="2"/>
  <c r="R103" i="2"/>
  <c r="R102" i="2"/>
  <c r="R101" i="2"/>
  <c r="R100" i="2"/>
  <c r="R99" i="2"/>
  <c r="R98" i="2"/>
  <c r="R97" i="2"/>
  <c r="R96" i="2"/>
  <c r="R95" i="2"/>
  <c r="R94" i="2"/>
  <c r="R93" i="2"/>
  <c r="R92" i="2"/>
  <c r="R91" i="2"/>
  <c r="R90" i="2"/>
  <c r="R89" i="2"/>
  <c r="R88" i="2"/>
  <c r="R87" i="2"/>
  <c r="R86" i="2"/>
  <c r="R85" i="2"/>
  <c r="R84" i="2"/>
  <c r="R83" i="2"/>
  <c r="R82" i="2"/>
  <c r="R81" i="2"/>
  <c r="R80" i="2"/>
  <c r="R79" i="2"/>
  <c r="R78" i="2"/>
  <c r="R77" i="2"/>
  <c r="R76" i="2"/>
  <c r="R75" i="2"/>
  <c r="R74" i="2"/>
  <c r="R73" i="2"/>
  <c r="R72" i="2"/>
  <c r="R71" i="2"/>
  <c r="R70" i="2"/>
  <c r="R69" i="2"/>
  <c r="R68" i="2"/>
  <c r="R67" i="2"/>
  <c r="R66" i="2"/>
  <c r="R65" i="2"/>
  <c r="R64" i="2"/>
  <c r="R63" i="2"/>
  <c r="R62" i="2"/>
  <c r="R61" i="2"/>
  <c r="R60" i="2"/>
  <c r="R59" i="2"/>
  <c r="R58" i="2"/>
  <c r="R57" i="2"/>
  <c r="R56" i="2"/>
  <c r="R55" i="2"/>
  <c r="R54" i="2"/>
  <c r="R53" i="2"/>
  <c r="R52" i="2"/>
  <c r="R51" i="2"/>
  <c r="R50" i="2"/>
  <c r="R49" i="2"/>
  <c r="R48" i="2"/>
  <c r="R47" i="2"/>
  <c r="R46" i="2"/>
  <c r="R45" i="2"/>
  <c r="R44" i="2"/>
  <c r="R43" i="2"/>
  <c r="R42" i="2"/>
  <c r="R41" i="2"/>
  <c r="R40" i="2"/>
  <c r="R39" i="2"/>
  <c r="R38" i="2"/>
  <c r="R37" i="2"/>
  <c r="R36" i="2"/>
  <c r="R35" i="2"/>
  <c r="R34" i="2"/>
  <c r="R33" i="2"/>
  <c r="R32" i="2"/>
  <c r="R31" i="2"/>
  <c r="R30" i="2"/>
  <c r="R29" i="2"/>
  <c r="R28" i="2"/>
  <c r="R27" i="2"/>
  <c r="R26" i="2"/>
  <c r="R25" i="2"/>
  <c r="R24" i="2"/>
  <c r="R23" i="2"/>
  <c r="R22" i="2"/>
  <c r="R21" i="2"/>
  <c r="R20" i="2"/>
  <c r="R19" i="2"/>
  <c r="R18" i="2"/>
  <c r="R17" i="2"/>
  <c r="R16" i="2"/>
  <c r="R15" i="2"/>
  <c r="R14" i="2"/>
  <c r="R13" i="2"/>
  <c r="R12" i="2"/>
  <c r="R11" i="2"/>
  <c r="R10" i="2"/>
  <c r="R9" i="2"/>
  <c r="R8" i="2"/>
  <c r="R7" i="2"/>
  <c r="R6" i="2"/>
  <c r="R5" i="2"/>
  <c r="R4" i="2"/>
  <c r="R3" i="2"/>
  <c r="K270" i="2"/>
  <c r="K269" i="2"/>
  <c r="K268" i="2"/>
  <c r="K267" i="2"/>
  <c r="K266" i="2"/>
  <c r="K265" i="2"/>
  <c r="K264" i="2"/>
  <c r="K263" i="2"/>
  <c r="K262" i="2"/>
  <c r="K261" i="2"/>
  <c r="K260" i="2"/>
  <c r="K259" i="2"/>
  <c r="K258" i="2"/>
  <c r="K257" i="2"/>
  <c r="K256" i="2"/>
  <c r="K255" i="2"/>
  <c r="K254" i="2"/>
  <c r="K253" i="2"/>
  <c r="K252" i="2"/>
  <c r="K251" i="2"/>
  <c r="K250" i="2"/>
  <c r="K249" i="2"/>
  <c r="K248" i="2"/>
  <c r="K247" i="2"/>
  <c r="K246" i="2"/>
  <c r="K245" i="2"/>
  <c r="K244" i="2"/>
  <c r="K243" i="2"/>
  <c r="K242" i="2"/>
  <c r="K241" i="2"/>
  <c r="K240" i="2"/>
  <c r="K239" i="2"/>
  <c r="K238" i="2"/>
  <c r="K237" i="2"/>
  <c r="K236" i="2"/>
  <c r="K235" i="2"/>
  <c r="K234" i="2"/>
  <c r="K233" i="2"/>
  <c r="K232" i="2"/>
  <c r="K231" i="2"/>
  <c r="K230" i="2"/>
  <c r="K229" i="2"/>
  <c r="K228" i="2"/>
  <c r="K227" i="2"/>
  <c r="K226" i="2"/>
  <c r="K225" i="2"/>
  <c r="K224" i="2"/>
  <c r="K223" i="2"/>
  <c r="K222" i="2"/>
  <c r="K221" i="2"/>
  <c r="K220" i="2"/>
  <c r="K219" i="2"/>
  <c r="K218" i="2"/>
  <c r="K217" i="2"/>
  <c r="K216" i="2"/>
  <c r="K215" i="2"/>
  <c r="K214" i="2"/>
  <c r="K213" i="2"/>
  <c r="K212" i="2"/>
  <c r="K211" i="2"/>
  <c r="K210" i="2"/>
  <c r="K209" i="2"/>
  <c r="K208" i="2"/>
  <c r="K207" i="2"/>
  <c r="K206" i="2"/>
  <c r="K205" i="2"/>
  <c r="K204" i="2"/>
  <c r="K203" i="2"/>
  <c r="K202" i="2"/>
  <c r="K201" i="2"/>
  <c r="K200" i="2"/>
  <c r="K199" i="2"/>
  <c r="K198" i="2"/>
  <c r="K197" i="2"/>
  <c r="K196" i="2"/>
  <c r="K195" i="2"/>
  <c r="K194" i="2"/>
  <c r="K193" i="2"/>
  <c r="K192" i="2"/>
  <c r="K191" i="2"/>
  <c r="K190" i="2"/>
  <c r="K189" i="2"/>
  <c r="K188" i="2"/>
  <c r="K187" i="2"/>
  <c r="K186" i="2"/>
  <c r="K185" i="2"/>
  <c r="K184" i="2"/>
  <c r="K183" i="2"/>
  <c r="K182" i="2"/>
  <c r="K181" i="2"/>
  <c r="K180" i="2"/>
  <c r="K179" i="2"/>
  <c r="K178" i="2"/>
  <c r="K177" i="2"/>
  <c r="K176" i="2"/>
  <c r="K175" i="2"/>
  <c r="K174" i="2"/>
  <c r="K173" i="2"/>
  <c r="K172" i="2"/>
  <c r="K171" i="2"/>
  <c r="K170" i="2"/>
  <c r="K169" i="2"/>
  <c r="K168" i="2"/>
  <c r="K167" i="2"/>
  <c r="K166" i="2"/>
  <c r="K165" i="2"/>
  <c r="K164" i="2"/>
  <c r="K163" i="2"/>
  <c r="K162" i="2"/>
  <c r="K161" i="2"/>
  <c r="K160" i="2"/>
  <c r="K159" i="2"/>
  <c r="K158" i="2"/>
  <c r="K157" i="2"/>
  <c r="K156" i="2"/>
  <c r="K155" i="2"/>
  <c r="K154" i="2"/>
  <c r="K153" i="2"/>
  <c r="K152" i="2"/>
  <c r="K151" i="2"/>
  <c r="K150" i="2"/>
  <c r="K149" i="2"/>
  <c r="K148" i="2"/>
  <c r="K147" i="2"/>
  <c r="K146" i="2"/>
  <c r="K145" i="2"/>
  <c r="K144" i="2"/>
  <c r="K143" i="2"/>
  <c r="K142" i="2"/>
  <c r="K141" i="2"/>
  <c r="K140" i="2"/>
  <c r="K139" i="2"/>
  <c r="K138" i="2"/>
  <c r="K137" i="2"/>
  <c r="K136" i="2"/>
  <c r="K135" i="2"/>
  <c r="K134" i="2"/>
  <c r="K133" i="2"/>
  <c r="K132" i="2"/>
  <c r="K131" i="2"/>
  <c r="K130" i="2"/>
  <c r="K129" i="2"/>
  <c r="K128" i="2"/>
  <c r="K127" i="2"/>
  <c r="K126" i="2"/>
  <c r="K125" i="2"/>
  <c r="K124" i="2"/>
  <c r="K123" i="2"/>
  <c r="K122" i="2"/>
  <c r="K121" i="2"/>
  <c r="K120" i="2"/>
  <c r="K119" i="2"/>
  <c r="K118" i="2"/>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K21" i="2"/>
  <c r="K20" i="2"/>
  <c r="K19" i="2"/>
  <c r="K18" i="2"/>
  <c r="K17" i="2"/>
  <c r="K16" i="2"/>
  <c r="K15" i="2"/>
  <c r="K14" i="2"/>
  <c r="K13" i="2"/>
  <c r="K12" i="2"/>
  <c r="K11" i="2"/>
  <c r="K10" i="2"/>
  <c r="K9" i="2"/>
  <c r="K8" i="2"/>
  <c r="K7" i="2"/>
  <c r="K6" i="2"/>
  <c r="K5" i="2"/>
  <c r="K4" i="2"/>
  <c r="K3" i="2"/>
  <c r="G30" i="2" a="1"/>
  <c r="G30" i="2" s="1"/>
  <c r="G21" i="2" a="1"/>
  <c r="G21" i="2" s="1"/>
  <c r="G11" i="2" a="1"/>
  <c r="G11" i="2" s="1"/>
  <c r="G3" i="2" a="1"/>
  <c r="G3" i="2" s="1"/>
  <c r="D69" i="2" a="1"/>
  <c r="D69" i="2" s="1"/>
  <c r="D67" i="2" a="1"/>
  <c r="D67" i="2" s="1"/>
  <c r="D6" i="2" a="1"/>
  <c r="D6" i="2" s="1"/>
  <c r="D3" i="2" a="1"/>
  <c r="D3" i="2" s="1"/>
  <c r="U12" i="1"/>
  <c r="X17" i="1"/>
  <c r="V12" i="1"/>
  <c r="V13" i="1"/>
  <c r="X6" i="1"/>
  <c r="X19" i="1"/>
  <c r="X13" i="1"/>
  <c r="X5" i="1"/>
  <c r="V14" i="1"/>
  <c r="U9" i="1"/>
  <c r="V6" i="1"/>
  <c r="V9" i="1"/>
  <c r="U21" i="1"/>
  <c r="X7" i="1"/>
  <c r="X3" i="1"/>
  <c r="U7" i="1"/>
  <c r="X21" i="1"/>
  <c r="U18" i="1"/>
  <c r="U5" i="1"/>
  <c r="U8" i="1"/>
  <c r="V15" i="1"/>
  <c r="V10" i="1"/>
  <c r="V4" i="1"/>
  <c r="V8" i="1"/>
  <c r="X15" i="1"/>
  <c r="X22" i="1"/>
  <c r="U14" i="1"/>
  <c r="V16" i="1"/>
  <c r="V11" i="1"/>
  <c r="V3" i="1"/>
  <c r="U16" i="1"/>
  <c r="V20" i="1"/>
  <c r="X20" i="1"/>
  <c r="X16" i="1"/>
  <c r="X9" i="1"/>
  <c r="V5" i="1"/>
  <c r="X8" i="1"/>
  <c r="U20" i="1"/>
  <c r="U11" i="1"/>
  <c r="U6" i="1"/>
  <c r="X11" i="1"/>
  <c r="X18" i="1"/>
  <c r="U22" i="1"/>
  <c r="V19" i="1"/>
  <c r="X4" i="1"/>
  <c r="X12" i="1"/>
  <c r="V17" i="1"/>
  <c r="X10" i="1"/>
  <c r="U17" i="1"/>
  <c r="X14" i="1"/>
  <c r="U13" i="1"/>
  <c r="V21" i="1"/>
  <c r="U3" i="1"/>
  <c r="V22" i="1"/>
  <c r="U19" i="1"/>
  <c r="V18" i="1"/>
  <c r="V7" i="1"/>
  <c r="U15" i="1"/>
  <c r="U10" i="1"/>
  <c r="U4" i="1"/>
  <c r="Q25" i="9" l="1"/>
  <c r="Q24" i="9"/>
  <c r="Q23" i="9"/>
  <c r="Q22" i="9"/>
  <c r="Q21" i="9"/>
  <c r="Q20" i="9"/>
  <c r="Q19" i="9"/>
  <c r="Q18" i="9"/>
  <c r="Q17" i="9"/>
  <c r="Q16" i="9"/>
  <c r="Q15" i="9"/>
  <c r="Q14" i="9"/>
  <c r="Q13" i="9"/>
  <c r="Q12" i="9"/>
  <c r="Q11" i="9"/>
  <c r="Q10" i="9"/>
  <c r="Q9" i="9"/>
  <c r="Q8" i="9"/>
  <c r="Q25" i="4"/>
  <c r="Q24" i="4"/>
  <c r="Q23" i="4"/>
  <c r="Q22" i="4"/>
  <c r="Q21" i="4"/>
  <c r="Q20" i="4"/>
  <c r="Q19" i="4"/>
  <c r="Q18" i="4"/>
  <c r="Q17" i="4"/>
  <c r="Q16" i="4"/>
  <c r="Q15" i="4"/>
  <c r="Q14" i="4"/>
  <c r="Q13" i="4"/>
  <c r="Q12" i="4"/>
  <c r="Q11" i="4"/>
  <c r="Q10" i="4"/>
  <c r="Q9" i="4"/>
  <c r="Q8" i="4"/>
  <c r="AB25" i="9"/>
  <c r="AB24" i="9"/>
  <c r="AB23" i="9"/>
  <c r="AB22" i="9"/>
  <c r="AB21" i="9"/>
  <c r="AB20" i="9"/>
  <c r="AB19" i="9"/>
  <c r="AB18" i="9"/>
  <c r="AB17" i="9"/>
  <c r="AB16" i="9"/>
  <c r="AB15" i="9"/>
  <c r="AB14" i="9"/>
  <c r="AB13" i="9"/>
  <c r="AB12" i="9"/>
  <c r="AB11" i="9"/>
  <c r="AB10" i="9"/>
  <c r="AB9" i="9"/>
  <c r="AB8" i="9"/>
  <c r="AB7" i="9"/>
  <c r="AB6" i="9"/>
  <c r="AA25" i="9"/>
  <c r="AA24" i="9"/>
  <c r="AA23" i="9"/>
  <c r="AA22" i="9"/>
  <c r="AA21" i="9"/>
  <c r="AA20" i="9"/>
  <c r="AA19" i="9"/>
  <c r="AA18" i="9"/>
  <c r="AA17" i="9"/>
  <c r="AA16" i="9"/>
  <c r="AA15" i="9"/>
  <c r="AA14" i="9"/>
  <c r="AA13" i="9"/>
  <c r="AA12" i="9"/>
  <c r="AA11" i="9"/>
  <c r="AA10" i="9"/>
  <c r="AA9" i="9"/>
  <c r="AA8" i="9"/>
  <c r="AA7" i="9"/>
  <c r="AA6" i="9"/>
  <c r="O23" i="3"/>
  <c r="O22" i="3"/>
  <c r="O21" i="3"/>
  <c r="O20" i="3"/>
  <c r="O19" i="3"/>
  <c r="O18" i="3"/>
  <c r="O17" i="3"/>
  <c r="O16" i="3"/>
  <c r="O15" i="3"/>
  <c r="O14" i="3"/>
  <c r="O13" i="3"/>
  <c r="O12" i="3"/>
  <c r="O11" i="3"/>
  <c r="O10" i="3"/>
  <c r="O9" i="3"/>
  <c r="O8" i="3"/>
  <c r="O7" i="3"/>
  <c r="O6" i="3"/>
  <c r="O5" i="3"/>
  <c r="O4" i="3"/>
  <c r="W25" i="9"/>
  <c r="W24" i="9"/>
  <c r="W23" i="9"/>
  <c r="W22" i="9"/>
  <c r="W21" i="9"/>
  <c r="W20" i="9"/>
  <c r="W19" i="9"/>
  <c r="W18" i="9"/>
  <c r="W17" i="9"/>
  <c r="W16" i="9"/>
  <c r="W15" i="9"/>
  <c r="W14" i="9"/>
  <c r="W13" i="9"/>
  <c r="W12" i="9"/>
  <c r="W11" i="9"/>
  <c r="W10" i="9"/>
  <c r="W9" i="9"/>
  <c r="W8" i="9"/>
  <c r="W7" i="9"/>
  <c r="W6" i="9"/>
  <c r="X25" i="9"/>
  <c r="X24" i="9"/>
  <c r="X23" i="9"/>
  <c r="X22" i="9"/>
  <c r="X21" i="9"/>
  <c r="X20" i="9"/>
  <c r="X19" i="9"/>
  <c r="X18" i="9"/>
  <c r="X17" i="9"/>
  <c r="X16" i="9"/>
  <c r="X15" i="9"/>
  <c r="X14" i="9"/>
  <c r="X13" i="9"/>
  <c r="X12" i="9"/>
  <c r="X11" i="9"/>
  <c r="X10" i="9"/>
  <c r="X9" i="9"/>
  <c r="X8" i="9"/>
  <c r="X7" i="9"/>
  <c r="X6" i="9"/>
  <c r="P5" i="3"/>
  <c r="P6" i="3"/>
  <c r="P7" i="3"/>
  <c r="P8" i="3"/>
  <c r="P9" i="3"/>
  <c r="P10" i="3"/>
  <c r="P11" i="3"/>
  <c r="P12" i="3"/>
  <c r="P13" i="3"/>
  <c r="P14" i="3"/>
  <c r="P15" i="3"/>
  <c r="P16" i="3"/>
  <c r="P17" i="3"/>
  <c r="P18" i="3"/>
  <c r="P19" i="3"/>
  <c r="P20" i="3"/>
  <c r="P21" i="3"/>
  <c r="P22" i="3"/>
  <c r="P23" i="3"/>
  <c r="P4" i="3"/>
  <c r="N23" i="3"/>
  <c r="N22" i="3"/>
  <c r="N21" i="3"/>
  <c r="N20" i="3"/>
  <c r="N19" i="3"/>
  <c r="N18" i="3"/>
  <c r="N17" i="3"/>
  <c r="N16" i="3"/>
  <c r="N15" i="3"/>
  <c r="N14" i="3"/>
  <c r="N13" i="3"/>
  <c r="N12" i="3"/>
  <c r="N11" i="3"/>
  <c r="N10" i="3"/>
  <c r="N9" i="3"/>
  <c r="N8" i="3"/>
  <c r="N7" i="3"/>
  <c r="N6" i="3"/>
  <c r="N5" i="3"/>
  <c r="N4" i="3"/>
  <c r="V25" i="9"/>
  <c r="V24" i="9"/>
  <c r="V23" i="9"/>
  <c r="V22" i="9"/>
  <c r="V21" i="9"/>
  <c r="V20" i="9"/>
  <c r="V19" i="9"/>
  <c r="V18" i="9"/>
  <c r="V17" i="9"/>
  <c r="V16" i="9"/>
  <c r="V15" i="9"/>
  <c r="V14" i="9"/>
  <c r="V13" i="9"/>
  <c r="V12" i="9"/>
  <c r="V11" i="9"/>
  <c r="V10" i="9"/>
  <c r="V9" i="9"/>
  <c r="V8" i="9"/>
  <c r="V7" i="9"/>
  <c r="V6" i="9"/>
  <c r="J25" i="9"/>
  <c r="E25" i="10" s="1"/>
  <c r="J24" i="9"/>
  <c r="E24" i="10" s="1"/>
  <c r="J23" i="9"/>
  <c r="E23" i="10" s="1"/>
  <c r="J22" i="9"/>
  <c r="E22" i="10" s="1"/>
  <c r="J21" i="9"/>
  <c r="E21" i="10" s="1"/>
  <c r="J20" i="9"/>
  <c r="E20" i="10" s="1"/>
  <c r="J19" i="9"/>
  <c r="E19" i="10" s="1"/>
  <c r="J18" i="9"/>
  <c r="E18" i="10" s="1"/>
  <c r="J17" i="9"/>
  <c r="E17" i="10" s="1"/>
  <c r="J16" i="9"/>
  <c r="E16" i="10" s="1"/>
  <c r="J15" i="9"/>
  <c r="E15" i="10" s="1"/>
  <c r="J14" i="9"/>
  <c r="E14" i="10" s="1"/>
  <c r="J13" i="9"/>
  <c r="E13" i="10" s="1"/>
  <c r="J12" i="9"/>
  <c r="E12" i="10" s="1"/>
  <c r="J11" i="9"/>
  <c r="E11" i="10" s="1"/>
  <c r="J10" i="9"/>
  <c r="E10" i="10" s="1"/>
  <c r="J9" i="9"/>
  <c r="E9" i="10" s="1"/>
  <c r="J8" i="9"/>
  <c r="E8" i="10" s="1"/>
  <c r="J7" i="9"/>
  <c r="E7" i="10" s="1"/>
  <c r="J6" i="9"/>
  <c r="E6" i="10" s="1"/>
  <c r="D25" i="4"/>
  <c r="D24" i="4"/>
  <c r="D23" i="4"/>
  <c r="D22" i="4"/>
  <c r="D21" i="4"/>
  <c r="D20" i="4"/>
  <c r="D19" i="4"/>
  <c r="D18" i="4"/>
  <c r="D17" i="4"/>
  <c r="D16" i="4"/>
  <c r="D15" i="4"/>
  <c r="D14" i="4"/>
  <c r="D13" i="4"/>
  <c r="D12" i="4"/>
  <c r="D11" i="4"/>
  <c r="D10" i="4"/>
  <c r="D9" i="4"/>
  <c r="D8" i="4"/>
  <c r="D7" i="4"/>
  <c r="D6" i="4"/>
  <c r="J25" i="4"/>
  <c r="J24" i="4"/>
  <c r="J23" i="4"/>
  <c r="J22" i="4"/>
  <c r="J21" i="4"/>
  <c r="J20" i="4"/>
  <c r="J19" i="4"/>
  <c r="J18" i="4"/>
  <c r="J17" i="4"/>
  <c r="J16" i="4"/>
  <c r="J15" i="4"/>
  <c r="J14" i="4"/>
  <c r="J13" i="4"/>
  <c r="J12" i="4"/>
  <c r="J11" i="4"/>
  <c r="J10" i="4"/>
  <c r="J9" i="4"/>
  <c r="J8" i="4"/>
  <c r="I25" i="4"/>
  <c r="I24" i="4"/>
  <c r="I23" i="4"/>
  <c r="I22" i="4"/>
  <c r="I21" i="4"/>
  <c r="I20" i="4"/>
  <c r="I19" i="4"/>
  <c r="I18" i="4"/>
  <c r="I17" i="4"/>
  <c r="I16" i="4"/>
  <c r="I15" i="4"/>
  <c r="I14" i="4"/>
  <c r="I13" i="4"/>
  <c r="I12" i="4"/>
  <c r="I11" i="4"/>
  <c r="I10" i="4"/>
  <c r="I9" i="4"/>
  <c r="I8" i="4"/>
  <c r="I7" i="4"/>
  <c r="I6" i="4"/>
  <c r="H25" i="4"/>
  <c r="AA25" i="4" s="1"/>
  <c r="H24" i="4"/>
  <c r="AA24" i="4" s="1"/>
  <c r="H23" i="4"/>
  <c r="AA23" i="4" s="1"/>
  <c r="H22" i="4"/>
  <c r="AB22" i="4" s="1"/>
  <c r="H21" i="4"/>
  <c r="AB21" i="4" s="1"/>
  <c r="H20" i="4"/>
  <c r="AB20" i="4" s="1"/>
  <c r="H19" i="4"/>
  <c r="AB19" i="4" s="1"/>
  <c r="H18" i="4"/>
  <c r="AB18" i="4" s="1"/>
  <c r="H17" i="4"/>
  <c r="AA17" i="4" s="1"/>
  <c r="H16" i="4"/>
  <c r="AA16" i="4" s="1"/>
  <c r="H15" i="4"/>
  <c r="AA15" i="4" s="1"/>
  <c r="H14" i="4"/>
  <c r="AA14" i="4" s="1"/>
  <c r="H13" i="4"/>
  <c r="AA13" i="4" s="1"/>
  <c r="H12" i="4"/>
  <c r="AA12" i="4" s="1"/>
  <c r="H11" i="4"/>
  <c r="AA11" i="4" s="1"/>
  <c r="H10" i="4"/>
  <c r="AB10" i="4" s="1"/>
  <c r="H9" i="4"/>
  <c r="AB9" i="4" s="1"/>
  <c r="H8" i="4"/>
  <c r="AB8" i="4" s="1"/>
  <c r="H7" i="4"/>
  <c r="AB7" i="4" s="1"/>
  <c r="H6" i="4"/>
  <c r="F25" i="4"/>
  <c r="F24" i="4"/>
  <c r="F23" i="4"/>
  <c r="F22" i="4"/>
  <c r="F21" i="4"/>
  <c r="F20" i="4"/>
  <c r="F19" i="4"/>
  <c r="F18" i="4"/>
  <c r="F17" i="4"/>
  <c r="F16" i="4"/>
  <c r="F15" i="4"/>
  <c r="F14" i="4"/>
  <c r="F13" i="4"/>
  <c r="F12" i="4"/>
  <c r="F11" i="4"/>
  <c r="F10" i="4"/>
  <c r="F9" i="4"/>
  <c r="F8" i="4"/>
  <c r="F7" i="4"/>
  <c r="F6" i="4"/>
  <c r="I23" i="3"/>
  <c r="I22" i="3"/>
  <c r="I21" i="3"/>
  <c r="I20" i="3"/>
  <c r="I19" i="3"/>
  <c r="I18" i="3"/>
  <c r="I17" i="3"/>
  <c r="I16" i="3"/>
  <c r="I15" i="3"/>
  <c r="I14" i="3"/>
  <c r="I13" i="3"/>
  <c r="I12" i="3"/>
  <c r="I11" i="3"/>
  <c r="I10" i="3"/>
  <c r="I9" i="3"/>
  <c r="I8" i="3"/>
  <c r="I7" i="3"/>
  <c r="I6" i="3"/>
  <c r="I5" i="3"/>
  <c r="J7" i="4" s="1"/>
  <c r="I4" i="3"/>
  <c r="J6" i="4" s="1"/>
  <c r="H25" i="10"/>
  <c r="G25" i="10"/>
  <c r="C25" i="10"/>
  <c r="H24" i="10"/>
  <c r="G24" i="10"/>
  <c r="C24" i="10"/>
  <c r="H23" i="10"/>
  <c r="G23" i="10"/>
  <c r="C23" i="10"/>
  <c r="H22" i="10"/>
  <c r="DU22" i="10" s="1"/>
  <c r="G22" i="10"/>
  <c r="C22" i="10"/>
  <c r="H21" i="10"/>
  <c r="G21" i="10"/>
  <c r="C21" i="10"/>
  <c r="H20" i="10"/>
  <c r="DT20" i="10" s="1" a="1"/>
  <c r="DT20" i="10" s="1"/>
  <c r="G20" i="10"/>
  <c r="C20" i="10"/>
  <c r="R20" i="10" s="1"/>
  <c r="H19" i="10"/>
  <c r="G19" i="10"/>
  <c r="C19" i="10"/>
  <c r="H18" i="10"/>
  <c r="DU18" i="10" s="1"/>
  <c r="G18" i="10"/>
  <c r="C18" i="10"/>
  <c r="P18" i="10" s="1"/>
  <c r="H17" i="10"/>
  <c r="G17" i="10"/>
  <c r="C17" i="10"/>
  <c r="DR17" i="10" s="1"/>
  <c r="H16" i="10"/>
  <c r="G16" i="10"/>
  <c r="C16" i="10"/>
  <c r="H15" i="10"/>
  <c r="G15" i="10"/>
  <c r="C15" i="10"/>
  <c r="Q15" i="10" s="1"/>
  <c r="H14" i="10"/>
  <c r="G14" i="10"/>
  <c r="C14" i="10"/>
  <c r="H13" i="10"/>
  <c r="G13" i="10"/>
  <c r="C13" i="10"/>
  <c r="H12" i="10"/>
  <c r="G12" i="10"/>
  <c r="C12" i="10"/>
  <c r="H11" i="10"/>
  <c r="G11" i="10"/>
  <c r="C11" i="10"/>
  <c r="H10" i="10"/>
  <c r="G10" i="10"/>
  <c r="C10" i="10"/>
  <c r="H9" i="10"/>
  <c r="G9" i="10"/>
  <c r="C9" i="10"/>
  <c r="H8" i="10"/>
  <c r="G8" i="10"/>
  <c r="C8" i="10"/>
  <c r="H7" i="10"/>
  <c r="AN7" i="10" s="1"/>
  <c r="G7" i="10"/>
  <c r="C7" i="10"/>
  <c r="H6" i="10"/>
  <c r="G6" i="10"/>
  <c r="C6" i="10"/>
  <c r="H3" i="10"/>
  <c r="G3" i="10"/>
  <c r="F3" i="10"/>
  <c r="DT25" i="10" a="1"/>
  <c r="DT25" i="10" s="1"/>
  <c r="DR25" i="10"/>
  <c r="Z25" i="10"/>
  <c r="Q25" i="10"/>
  <c r="DU24" i="10"/>
  <c r="DU21" i="10"/>
  <c r="AJ21" i="10"/>
  <c r="AD21" i="10"/>
  <c r="Q21" i="10"/>
  <c r="P21" i="10"/>
  <c r="AB19" i="10"/>
  <c r="DT17" i="10" a="1"/>
  <c r="DT17" i="10" s="1"/>
  <c r="AN17" i="10"/>
  <c r="AL17" i="10"/>
  <c r="AJ17" i="10"/>
  <c r="AH17" i="10"/>
  <c r="X17" i="10"/>
  <c r="P17" i="10"/>
  <c r="DT16" i="10" a="1"/>
  <c r="DT16" i="10" s="1"/>
  <c r="R15" i="10"/>
  <c r="R13" i="10"/>
  <c r="Q13" i="10"/>
  <c r="DU11" i="10"/>
  <c r="DT11" i="10" a="1"/>
  <c r="DT11" i="10" s="1"/>
  <c r="DU10" i="10"/>
  <c r="DT10" i="10" a="1"/>
  <c r="DT10" i="10" s="1"/>
  <c r="R10" i="10"/>
  <c r="R9" i="10"/>
  <c r="Q9" i="10"/>
  <c r="P9" i="10"/>
  <c r="DT8" i="10" a="1"/>
  <c r="DT8" i="10" s="1"/>
  <c r="Z4" i="10"/>
  <c r="K25" i="4"/>
  <c r="Y25" i="4" s="1"/>
  <c r="K24" i="4"/>
  <c r="Y24" i="4" s="1"/>
  <c r="K23" i="4"/>
  <c r="Y23" i="4" s="1"/>
  <c r="K22" i="4"/>
  <c r="Y22" i="4" s="1"/>
  <c r="K21" i="4"/>
  <c r="Y21" i="4" s="1"/>
  <c r="K20" i="4"/>
  <c r="Y20" i="4" s="1"/>
  <c r="K19" i="4"/>
  <c r="Y19" i="4" s="1"/>
  <c r="K18" i="4"/>
  <c r="Y18" i="4" s="1"/>
  <c r="K17" i="4"/>
  <c r="Y17" i="4" s="1"/>
  <c r="K16" i="4"/>
  <c r="Y16" i="4" s="1"/>
  <c r="K15" i="4"/>
  <c r="Y15" i="4" s="1"/>
  <c r="K14" i="4"/>
  <c r="Y14" i="4" s="1"/>
  <c r="K13" i="4"/>
  <c r="Y13" i="4" s="1"/>
  <c r="K12" i="4"/>
  <c r="Y12" i="4" s="1"/>
  <c r="K11" i="4"/>
  <c r="Y11" i="4" s="1"/>
  <c r="K10" i="4"/>
  <c r="Y10" i="4" s="1"/>
  <c r="K9" i="4"/>
  <c r="Y9" i="4" s="1"/>
  <c r="K8" i="4"/>
  <c r="Y8" i="4" s="1"/>
  <c r="K7" i="4"/>
  <c r="Y7" i="4" s="1"/>
  <c r="K6" i="4"/>
  <c r="Y6" i="4" s="1"/>
  <c r="E6" i="4"/>
  <c r="K25" i="9"/>
  <c r="Y25" i="9" s="1"/>
  <c r="K24" i="9"/>
  <c r="Y24" i="9" s="1"/>
  <c r="K23" i="9"/>
  <c r="Y23" i="9" s="1"/>
  <c r="K22" i="9"/>
  <c r="Y22" i="9" s="1"/>
  <c r="K21" i="9"/>
  <c r="Y21" i="9" s="1"/>
  <c r="K20" i="9"/>
  <c r="Y20" i="9" s="1"/>
  <c r="K19" i="9"/>
  <c r="Y19" i="9" s="1"/>
  <c r="K18" i="9"/>
  <c r="Y18" i="9" s="1"/>
  <c r="K17" i="9"/>
  <c r="F17" i="10" s="1"/>
  <c r="K16" i="9"/>
  <c r="Y16" i="9" s="1"/>
  <c r="K15" i="9"/>
  <c r="Y15" i="9" s="1"/>
  <c r="K14" i="9"/>
  <c r="F14" i="10" s="1"/>
  <c r="S14" i="10" s="1"/>
  <c r="K13" i="9"/>
  <c r="Y13" i="9" s="1"/>
  <c r="K12" i="9"/>
  <c r="Y12" i="9" s="1"/>
  <c r="K11" i="9"/>
  <c r="Y11" i="9" s="1"/>
  <c r="K10" i="9"/>
  <c r="Y10" i="9" s="1"/>
  <c r="K9" i="9"/>
  <c r="Y9" i="9" s="1"/>
  <c r="K8" i="9"/>
  <c r="Y8" i="9" s="1"/>
  <c r="K7" i="9"/>
  <c r="Y7" i="9" s="1"/>
  <c r="K6" i="9"/>
  <c r="Y6" i="9" s="1"/>
  <c r="E6" i="9"/>
  <c r="D6" i="10" s="1"/>
  <c r="G26" i="9"/>
  <c r="U25" i="9"/>
  <c r="N25" i="9"/>
  <c r="E25" i="9"/>
  <c r="D25" i="10" s="1"/>
  <c r="B25" i="9"/>
  <c r="U24" i="9"/>
  <c r="N24" i="9"/>
  <c r="E24" i="9"/>
  <c r="D24" i="10" s="1"/>
  <c r="I24" i="10" s="1"/>
  <c r="B24" i="9"/>
  <c r="U23" i="9"/>
  <c r="N23" i="9"/>
  <c r="E23" i="9"/>
  <c r="D23" i="10" s="1"/>
  <c r="J23" i="10" s="1"/>
  <c r="B23" i="9"/>
  <c r="U22" i="9"/>
  <c r="N22" i="9"/>
  <c r="E22" i="9"/>
  <c r="D22" i="10" s="1"/>
  <c r="B22" i="9"/>
  <c r="U21" i="9"/>
  <c r="N21" i="9"/>
  <c r="E21" i="9"/>
  <c r="D21" i="10" s="1"/>
  <c r="B21" i="9"/>
  <c r="U20" i="9"/>
  <c r="N20" i="9"/>
  <c r="E20" i="9"/>
  <c r="D20" i="10" s="1"/>
  <c r="B20" i="9"/>
  <c r="U19" i="9"/>
  <c r="N19" i="9"/>
  <c r="E19" i="9"/>
  <c r="D19" i="10" s="1"/>
  <c r="I19" i="10" s="1"/>
  <c r="B19" i="9"/>
  <c r="U18" i="9"/>
  <c r="N18" i="9"/>
  <c r="E18" i="9"/>
  <c r="D18" i="10" s="1"/>
  <c r="B18" i="9"/>
  <c r="U17" i="9"/>
  <c r="N17" i="9"/>
  <c r="E17" i="9"/>
  <c r="D17" i="10" s="1"/>
  <c r="B17" i="9"/>
  <c r="U16" i="9"/>
  <c r="N16" i="9"/>
  <c r="E16" i="9"/>
  <c r="D16" i="10" s="1"/>
  <c r="K16" i="10" s="1"/>
  <c r="B16" i="9"/>
  <c r="U15" i="9"/>
  <c r="N15" i="9"/>
  <c r="E15" i="9"/>
  <c r="D15" i="10" s="1"/>
  <c r="J15" i="10" s="1"/>
  <c r="B15" i="9"/>
  <c r="U14" i="9"/>
  <c r="N14" i="9"/>
  <c r="E14" i="9"/>
  <c r="D14" i="10" s="1"/>
  <c r="B14" i="9"/>
  <c r="U13" i="9"/>
  <c r="N13" i="9"/>
  <c r="E13" i="9"/>
  <c r="D13" i="10" s="1"/>
  <c r="B13" i="9"/>
  <c r="U12" i="9"/>
  <c r="N12" i="9"/>
  <c r="E12" i="9"/>
  <c r="D12" i="10" s="1"/>
  <c r="B12" i="9"/>
  <c r="U11" i="9"/>
  <c r="N11" i="9"/>
  <c r="E11" i="9"/>
  <c r="D11" i="10" s="1"/>
  <c r="B11" i="9"/>
  <c r="U10" i="9"/>
  <c r="N10" i="9"/>
  <c r="E10" i="9"/>
  <c r="D10" i="10" s="1"/>
  <c r="B10" i="9"/>
  <c r="U9" i="9"/>
  <c r="N9" i="9"/>
  <c r="E9" i="9"/>
  <c r="D9" i="10" s="1"/>
  <c r="B9" i="9"/>
  <c r="U8" i="9"/>
  <c r="N8" i="9"/>
  <c r="E8" i="9"/>
  <c r="D8" i="10" s="1"/>
  <c r="K8" i="10" s="1"/>
  <c r="B8" i="9"/>
  <c r="U7" i="9"/>
  <c r="E7" i="9"/>
  <c r="D7" i="10" s="1"/>
  <c r="B7" i="9"/>
  <c r="U6" i="9"/>
  <c r="B6" i="9"/>
  <c r="X3" i="9"/>
  <c r="W25" i="4"/>
  <c r="W24" i="4"/>
  <c r="W23" i="4"/>
  <c r="W22" i="4"/>
  <c r="W21" i="4"/>
  <c r="W20" i="4"/>
  <c r="W19" i="4"/>
  <c r="W18" i="4"/>
  <c r="W17" i="4"/>
  <c r="W16" i="4"/>
  <c r="W15" i="4"/>
  <c r="W14" i="4"/>
  <c r="W13" i="4"/>
  <c r="W12" i="4"/>
  <c r="W11" i="4"/>
  <c r="W10" i="4"/>
  <c r="W9" i="4"/>
  <c r="W8" i="4"/>
  <c r="W7" i="4"/>
  <c r="W6" i="4"/>
  <c r="W3" i="4"/>
  <c r="V25" i="4"/>
  <c r="V24" i="4"/>
  <c r="V23" i="4"/>
  <c r="V22" i="4"/>
  <c r="V21" i="4"/>
  <c r="V20" i="4"/>
  <c r="V19" i="4"/>
  <c r="V18" i="4"/>
  <c r="V17" i="4"/>
  <c r="V16" i="4"/>
  <c r="V15" i="4"/>
  <c r="V14" i="4"/>
  <c r="V13" i="4"/>
  <c r="V12" i="4"/>
  <c r="V11" i="4"/>
  <c r="V10" i="4"/>
  <c r="V9" i="4"/>
  <c r="V8" i="4"/>
  <c r="V7" i="4"/>
  <c r="V6" i="4"/>
  <c r="U25" i="4"/>
  <c r="U24" i="4"/>
  <c r="U23" i="4"/>
  <c r="U22" i="4"/>
  <c r="U21" i="4"/>
  <c r="U20" i="4"/>
  <c r="U19" i="4"/>
  <c r="U18" i="4"/>
  <c r="U17" i="4"/>
  <c r="U16" i="4"/>
  <c r="U15" i="4"/>
  <c r="U14" i="4"/>
  <c r="U13" i="4"/>
  <c r="U12" i="4"/>
  <c r="U11" i="4"/>
  <c r="U10" i="4"/>
  <c r="U9" i="4"/>
  <c r="U8" i="4"/>
  <c r="U7" i="4"/>
  <c r="U6" i="4"/>
  <c r="M23" i="3"/>
  <c r="M22" i="3"/>
  <c r="M21" i="3"/>
  <c r="M20" i="3"/>
  <c r="M19" i="3"/>
  <c r="M18" i="3"/>
  <c r="M17" i="3"/>
  <c r="M16" i="3"/>
  <c r="M15" i="3"/>
  <c r="M14" i="3"/>
  <c r="M13" i="3"/>
  <c r="M12" i="3"/>
  <c r="M11" i="3"/>
  <c r="M10" i="3"/>
  <c r="M9" i="3"/>
  <c r="M8" i="3"/>
  <c r="M7" i="3"/>
  <c r="M6" i="3"/>
  <c r="M5" i="3"/>
  <c r="M4" i="3"/>
  <c r="S22" i="1"/>
  <c r="S21" i="1"/>
  <c r="S20" i="1"/>
  <c r="S19" i="1"/>
  <c r="S18" i="1"/>
  <c r="S17" i="1"/>
  <c r="S16" i="1"/>
  <c r="S15" i="1"/>
  <c r="S14" i="1"/>
  <c r="S13" i="1"/>
  <c r="S12" i="1"/>
  <c r="S11" i="1"/>
  <c r="S10" i="1"/>
  <c r="S9" i="1"/>
  <c r="S8" i="1"/>
  <c r="S7" i="1"/>
  <c r="S6" i="1"/>
  <c r="S5" i="1"/>
  <c r="S4" i="1"/>
  <c r="S3" i="1"/>
  <c r="H3" i="5"/>
  <c r="G3" i="5"/>
  <c r="F3" i="5"/>
  <c r="G25" i="5"/>
  <c r="G24" i="5"/>
  <c r="G23" i="5"/>
  <c r="G22" i="5"/>
  <c r="G21" i="5"/>
  <c r="G20" i="5"/>
  <c r="G19" i="5"/>
  <c r="G18" i="5"/>
  <c r="G17" i="5"/>
  <c r="G16" i="5"/>
  <c r="G15" i="5"/>
  <c r="G14" i="5"/>
  <c r="G13" i="5"/>
  <c r="G12" i="5"/>
  <c r="G11" i="5"/>
  <c r="G10" i="5"/>
  <c r="G9" i="5"/>
  <c r="G8" i="5"/>
  <c r="G7" i="5"/>
  <c r="G6" i="5"/>
  <c r="AJ7" i="10" l="1"/>
  <c r="DM7" i="10"/>
  <c r="CY7" i="10"/>
  <c r="CU7" i="10"/>
  <c r="CG7" i="10"/>
  <c r="BU7" i="10"/>
  <c r="BC7" i="10"/>
  <c r="AA7" i="10"/>
  <c r="DL7" i="10"/>
  <c r="CX7" i="10"/>
  <c r="CT7" i="10"/>
  <c r="CF7" i="10"/>
  <c r="BT7" i="10"/>
  <c r="BB7" i="10"/>
  <c r="AZ7" i="10"/>
  <c r="DI7" i="10"/>
  <c r="CQ7" i="10"/>
  <c r="BQ7" i="10"/>
  <c r="AY7" i="10"/>
  <c r="AE7" i="10"/>
  <c r="BP7" i="10"/>
  <c r="Y7" i="10"/>
  <c r="DG7" i="10"/>
  <c r="CO7" i="10"/>
  <c r="CC7" i="10"/>
  <c r="BK7" i="10"/>
  <c r="DF7" i="10"/>
  <c r="CN7" i="10"/>
  <c r="CB7" i="10"/>
  <c r="BN7" i="10"/>
  <c r="BJ7" i="10"/>
  <c r="AV7" i="10"/>
  <c r="AO7" i="10"/>
  <c r="CM7" i="10"/>
  <c r="CA7" i="10"/>
  <c r="BI7" i="10"/>
  <c r="DD7" i="10"/>
  <c r="BL7" i="10"/>
  <c r="AT7" i="10"/>
  <c r="AC7" i="10"/>
  <c r="DC7" i="10"/>
  <c r="BY7" i="10"/>
  <c r="BG7" i="10"/>
  <c r="DP7" i="10"/>
  <c r="DB7" i="10"/>
  <c r="AR7" i="10"/>
  <c r="DO7" i="10"/>
  <c r="DA7" i="10"/>
  <c r="CW7" i="10"/>
  <c r="CI7" i="10"/>
  <c r="BW7" i="10"/>
  <c r="BE7" i="10"/>
  <c r="AM7" i="10"/>
  <c r="DN7" i="10"/>
  <c r="CZ7" i="10"/>
  <c r="CV7" i="10"/>
  <c r="CH7" i="10"/>
  <c r="BV7" i="10"/>
  <c r="AG7" i="10"/>
  <c r="DK7" i="10"/>
  <c r="CS7" i="10"/>
  <c r="CE7" i="10"/>
  <c r="BS7" i="10"/>
  <c r="BA7" i="10"/>
  <c r="AQ7" i="10"/>
  <c r="DJ7" i="10"/>
  <c r="CR7" i="10"/>
  <c r="CD7" i="10"/>
  <c r="BR7" i="10"/>
  <c r="AK7" i="10"/>
  <c r="DH7" i="10"/>
  <c r="CP7" i="10"/>
  <c r="AX7" i="10"/>
  <c r="BO7" i="10"/>
  <c r="AW7" i="10"/>
  <c r="DE7" i="10"/>
  <c r="BM7" i="10"/>
  <c r="AU7" i="10"/>
  <c r="AI7" i="10"/>
  <c r="CL7" i="10"/>
  <c r="BZ7" i="10"/>
  <c r="BH7" i="10"/>
  <c r="DQ7" i="10"/>
  <c r="CK7" i="10"/>
  <c r="AS7" i="10"/>
  <c r="CJ7" i="10"/>
  <c r="BX7" i="10"/>
  <c r="BF7" i="10"/>
  <c r="BD7" i="10"/>
  <c r="Q3" i="1"/>
  <c r="AA20" i="4"/>
  <c r="AA8" i="4"/>
  <c r="AB12" i="4"/>
  <c r="AB13" i="4"/>
  <c r="AB23" i="4"/>
  <c r="AB24" i="4"/>
  <c r="AB25" i="4"/>
  <c r="AB6" i="4"/>
  <c r="AA18" i="4"/>
  <c r="AA19" i="4"/>
  <c r="AB11" i="4"/>
  <c r="AA9" i="4"/>
  <c r="AA21" i="4"/>
  <c r="AB14" i="4"/>
  <c r="AA10" i="4"/>
  <c r="AA22" i="4"/>
  <c r="AB15" i="4"/>
  <c r="AB16" i="4"/>
  <c r="AB17" i="4"/>
  <c r="I9" i="10"/>
  <c r="S17" i="10"/>
  <c r="R21" i="10"/>
  <c r="X21" i="10"/>
  <c r="DT23" i="10" a="1"/>
  <c r="DT23" i="10" s="1"/>
  <c r="R24" i="10"/>
  <c r="X9" i="10"/>
  <c r="F11" i="10"/>
  <c r="W11" i="10" s="1"/>
  <c r="AF9" i="10"/>
  <c r="P15" i="10"/>
  <c r="AN9" i="10"/>
  <c r="DT9" i="10" a="1"/>
  <c r="DT9" i="10" s="1"/>
  <c r="AP9" i="10"/>
  <c r="DU9" i="10"/>
  <c r="AP21" i="10"/>
  <c r="P25" i="10"/>
  <c r="L8" i="10"/>
  <c r="J7" i="10"/>
  <c r="AH7" i="10"/>
  <c r="Q11" i="10"/>
  <c r="AN15" i="10"/>
  <c r="AP7" i="10"/>
  <c r="DR7" i="10"/>
  <c r="Z17" i="10"/>
  <c r="DS17" i="10"/>
  <c r="DR19" i="10"/>
  <c r="AF21" i="10"/>
  <c r="AL25" i="10"/>
  <c r="DS25" i="10"/>
  <c r="AF11" i="10"/>
  <c r="Z7" i="10"/>
  <c r="DS7" i="10"/>
  <c r="AH11" i="10"/>
  <c r="DT7" i="10" a="1"/>
  <c r="DT7" i="10" s="1"/>
  <c r="AB17" i="10"/>
  <c r="AN25" i="10"/>
  <c r="AB7" i="10"/>
  <c r="AJ11" i="10"/>
  <c r="DS11" i="10"/>
  <c r="AJ23" i="10"/>
  <c r="J14" i="10"/>
  <c r="AD7" i="10"/>
  <c r="AL11" i="10"/>
  <c r="F21" i="10"/>
  <c r="W21" i="10" s="1"/>
  <c r="DT18" i="10" a="1"/>
  <c r="DT18" i="10" s="1"/>
  <c r="AN23" i="10"/>
  <c r="AF7" i="10"/>
  <c r="F15" i="10"/>
  <c r="W15" i="10" s="1"/>
  <c r="F9" i="10"/>
  <c r="T9" i="10" s="1"/>
  <c r="F19" i="10"/>
  <c r="T19" i="10" s="1"/>
  <c r="F25" i="10"/>
  <c r="T25" i="10" s="1"/>
  <c r="F7" i="10"/>
  <c r="S7" i="10" s="1"/>
  <c r="F13" i="10"/>
  <c r="M13" i="10" s="1"/>
  <c r="F23" i="10"/>
  <c r="M23" i="10" s="1"/>
  <c r="Y14" i="9"/>
  <c r="J17" i="10"/>
  <c r="K17" i="10"/>
  <c r="L17" i="10" s="1"/>
  <c r="I17" i="10"/>
  <c r="K11" i="10"/>
  <c r="L11" i="10" s="1"/>
  <c r="I11" i="10"/>
  <c r="K21" i="10"/>
  <c r="L21" i="10" s="1"/>
  <c r="J21" i="10"/>
  <c r="I21" i="10"/>
  <c r="K6" i="10"/>
  <c r="L6" i="10" s="1"/>
  <c r="I6" i="10"/>
  <c r="J13" i="10"/>
  <c r="K13" i="10"/>
  <c r="L13" i="10" s="1"/>
  <c r="F6" i="10"/>
  <c r="M6" i="10" s="1"/>
  <c r="Q6" i="10" s="1"/>
  <c r="F8" i="10"/>
  <c r="N8" i="10" s="1"/>
  <c r="F10" i="10"/>
  <c r="U10" i="10" s="1"/>
  <c r="F12" i="10"/>
  <c r="S12" i="10" s="1"/>
  <c r="F16" i="10"/>
  <c r="M16" i="10" s="1"/>
  <c r="F18" i="10"/>
  <c r="S18" i="10" s="1"/>
  <c r="F20" i="10"/>
  <c r="T20" i="10" s="1"/>
  <c r="F22" i="10"/>
  <c r="O22" i="10" s="1"/>
  <c r="F24" i="10"/>
  <c r="S24" i="10" s="1"/>
  <c r="Y17" i="9"/>
  <c r="S3" i="4"/>
  <c r="AH10" i="10"/>
  <c r="R18" i="10"/>
  <c r="AF16" i="10"/>
  <c r="AB18" i="10"/>
  <c r="AF24" i="10"/>
  <c r="AP10" i="10"/>
  <c r="AN16" i="10"/>
  <c r="Z8" i="10"/>
  <c r="DR8" i="10"/>
  <c r="R16" i="10"/>
  <c r="AP16" i="10"/>
  <c r="AF18" i="10"/>
  <c r="AH24" i="10"/>
  <c r="AD10" i="10"/>
  <c r="AD16" i="10"/>
  <c r="Q18" i="10"/>
  <c r="X24" i="10"/>
  <c r="DS8" i="10"/>
  <c r="AB8" i="10"/>
  <c r="AJ18" i="10"/>
  <c r="AJ24" i="10"/>
  <c r="P20" i="10"/>
  <c r="AF14" i="10"/>
  <c r="P16" i="10"/>
  <c r="DR20" i="10"/>
  <c r="AH14" i="10"/>
  <c r="Q16" i="10"/>
  <c r="DR16" i="10"/>
  <c r="AP18" i="10"/>
  <c r="DS20" i="10"/>
  <c r="P24" i="10"/>
  <c r="AP24" i="10"/>
  <c r="Z16" i="10"/>
  <c r="AB16" i="10"/>
  <c r="Q24" i="10"/>
  <c r="K12" i="10"/>
  <c r="L12" i="10" s="1"/>
  <c r="J12" i="10"/>
  <c r="I12" i="10"/>
  <c r="K25" i="10"/>
  <c r="L25" i="10" s="1"/>
  <c r="J25" i="10"/>
  <c r="I25" i="10"/>
  <c r="AF8" i="10"/>
  <c r="AH9" i="10"/>
  <c r="AJ10" i="10"/>
  <c r="AJ14" i="10"/>
  <c r="U17" i="10"/>
  <c r="X7" i="10"/>
  <c r="AL7" i="10"/>
  <c r="R8" i="10"/>
  <c r="Q8" i="10"/>
  <c r="P10" i="10"/>
  <c r="AP14" i="10"/>
  <c r="DU14" i="10"/>
  <c r="M17" i="10"/>
  <c r="P8" i="10"/>
  <c r="AH8" i="10"/>
  <c r="AJ9" i="10"/>
  <c r="Q10" i="10"/>
  <c r="AL10" i="10"/>
  <c r="DS12" i="10"/>
  <c r="X12" i="10"/>
  <c r="DT12" i="10" a="1"/>
  <c r="DT12" i="10" s="1"/>
  <c r="AL12" i="10"/>
  <c r="DR12" i="10"/>
  <c r="AJ12" i="10"/>
  <c r="AH12" i="10"/>
  <c r="AF12" i="10"/>
  <c r="AD12" i="10"/>
  <c r="DU12" i="10"/>
  <c r="Z12" i="10"/>
  <c r="AP12" i="10"/>
  <c r="AN13" i="10"/>
  <c r="R12" i="10"/>
  <c r="AJ8" i="10"/>
  <c r="DS9" i="10"/>
  <c r="DR9" i="10"/>
  <c r="AL9" i="10"/>
  <c r="Z9" i="10"/>
  <c r="AB10" i="10"/>
  <c r="DR10" i="10"/>
  <c r="Z10" i="10"/>
  <c r="AN10" i="10"/>
  <c r="X10" i="10"/>
  <c r="DU8" i="10"/>
  <c r="AP8" i="10"/>
  <c r="AD8" i="10"/>
  <c r="AL8" i="10"/>
  <c r="I10" i="10"/>
  <c r="K10" i="10"/>
  <c r="L10" i="10" s="1"/>
  <c r="J10" i="10"/>
  <c r="AB12" i="10"/>
  <c r="M14" i="10"/>
  <c r="T14" i="10"/>
  <c r="N14" i="10"/>
  <c r="W14" i="10"/>
  <c r="V14" i="10"/>
  <c r="U14" i="10"/>
  <c r="O14" i="10"/>
  <c r="K7" i="10"/>
  <c r="L7" i="10" s="1"/>
  <c r="I7" i="10"/>
  <c r="AB4" i="10"/>
  <c r="J6" i="10"/>
  <c r="DU6" i="10"/>
  <c r="I8" i="10"/>
  <c r="X8" i="10"/>
  <c r="J9" i="10"/>
  <c r="AB9" i="10"/>
  <c r="DS10" i="10"/>
  <c r="DT15" i="10" a="1"/>
  <c r="DT15" i="10" s="1"/>
  <c r="AL15" i="10"/>
  <c r="X15" i="10"/>
  <c r="AH15" i="10"/>
  <c r="AF15" i="10"/>
  <c r="AD15" i="10"/>
  <c r="DU15" i="10"/>
  <c r="AB15" i="10"/>
  <c r="AJ15" i="10"/>
  <c r="DS15" i="10"/>
  <c r="Z15" i="10"/>
  <c r="DR15" i="10"/>
  <c r="AP15" i="10"/>
  <c r="Q12" i="10"/>
  <c r="P12" i="10"/>
  <c r="J8" i="10"/>
  <c r="AN8" i="10"/>
  <c r="K9" i="10"/>
  <c r="L9" i="10" s="1"/>
  <c r="AD9" i="10"/>
  <c r="AN12" i="10"/>
  <c r="AL13" i="10"/>
  <c r="AH13" i="10"/>
  <c r="AF13" i="10"/>
  <c r="DT13" i="10" a="1"/>
  <c r="DT13" i="10" s="1"/>
  <c r="AD13" i="10"/>
  <c r="DS13" i="10"/>
  <c r="DR13" i="10"/>
  <c r="AB13" i="10"/>
  <c r="Z13" i="10"/>
  <c r="X13" i="10"/>
  <c r="DU13" i="10"/>
  <c r="AP13" i="10"/>
  <c r="AJ13" i="10"/>
  <c r="DR14" i="10"/>
  <c r="Z14" i="10"/>
  <c r="DT14" i="10" a="1"/>
  <c r="DT14" i="10" s="1"/>
  <c r="AD14" i="10"/>
  <c r="DS14" i="10"/>
  <c r="AB14" i="10"/>
  <c r="X14" i="10"/>
  <c r="AN14" i="10"/>
  <c r="AL14" i="10"/>
  <c r="I15" i="10"/>
  <c r="DR11" i="10"/>
  <c r="AD11" i="10"/>
  <c r="AP11" i="10"/>
  <c r="AB11" i="10"/>
  <c r="X11" i="10"/>
  <c r="AN11" i="10"/>
  <c r="I14" i="10"/>
  <c r="DS19" i="10"/>
  <c r="X20" i="10"/>
  <c r="Z22" i="10"/>
  <c r="P13" i="10"/>
  <c r="X19" i="10"/>
  <c r="AF20" i="10"/>
  <c r="AB22" i="10"/>
  <c r="J11" i="10"/>
  <c r="Z11" i="10"/>
  <c r="O17" i="10"/>
  <c r="N17" i="10"/>
  <c r="W17" i="10"/>
  <c r="V17" i="10"/>
  <c r="AN20" i="10"/>
  <c r="I18" i="10"/>
  <c r="K18" i="10"/>
  <c r="L18" i="10" s="1"/>
  <c r="J18" i="10"/>
  <c r="Q19" i="10"/>
  <c r="P19" i="10"/>
  <c r="AP19" i="10"/>
  <c r="R19" i="10"/>
  <c r="AF19" i="10"/>
  <c r="AL19" i="10"/>
  <c r="K15" i="10"/>
  <c r="L15" i="10" s="1"/>
  <c r="K19" i="10"/>
  <c r="L19" i="10" s="1"/>
  <c r="J19" i="10"/>
  <c r="I13" i="10"/>
  <c r="P22" i="10"/>
  <c r="DR22" i="10"/>
  <c r="R22" i="10"/>
  <c r="Q22" i="10"/>
  <c r="AL22" i="10"/>
  <c r="AF22" i="10"/>
  <c r="K14" i="10"/>
  <c r="L14" i="10" s="1"/>
  <c r="DU20" i="10"/>
  <c r="AP20" i="10"/>
  <c r="AD20" i="10"/>
  <c r="AB20" i="10"/>
  <c r="AL20" i="10"/>
  <c r="K20" i="10"/>
  <c r="L20" i="10" s="1"/>
  <c r="AJ20" i="10"/>
  <c r="J20" i="10"/>
  <c r="AH20" i="10"/>
  <c r="I20" i="10"/>
  <c r="Z20" i="10"/>
  <c r="K22" i="10"/>
  <c r="L22" i="10" s="1"/>
  <c r="J22" i="10"/>
  <c r="I22" i="10"/>
  <c r="DS18" i="10"/>
  <c r="DR18" i="10"/>
  <c r="AL18" i="10"/>
  <c r="Z18" i="10"/>
  <c r="AH18" i="10"/>
  <c r="X18" i="10"/>
  <c r="AN18" i="10"/>
  <c r="AD18" i="10"/>
  <c r="AF10" i="10"/>
  <c r="P11" i="10"/>
  <c r="P23" i="10"/>
  <c r="R11" i="10"/>
  <c r="I16" i="10"/>
  <c r="J16" i="10"/>
  <c r="AL16" i="10"/>
  <c r="T17" i="10"/>
  <c r="Q23" i="10"/>
  <c r="Q14" i="10"/>
  <c r="R14" i="10"/>
  <c r="P14" i="10"/>
  <c r="R23" i="10"/>
  <c r="DR23" i="10"/>
  <c r="Z23" i="10"/>
  <c r="X23" i="10"/>
  <c r="AL23" i="10"/>
  <c r="DS23" i="10"/>
  <c r="AH23" i="10"/>
  <c r="AB23" i="10"/>
  <c r="AJ16" i="10"/>
  <c r="X16" i="10"/>
  <c r="DU16" i="10"/>
  <c r="DS16" i="10"/>
  <c r="AH16" i="10"/>
  <c r="L16" i="10"/>
  <c r="AH19" i="10"/>
  <c r="DU19" i="10"/>
  <c r="AN19" i="10"/>
  <c r="Z19" i="10"/>
  <c r="AD19" i="10"/>
  <c r="DT19" i="10" a="1"/>
  <c r="DT19" i="10" s="1"/>
  <c r="AJ22" i="10"/>
  <c r="X22" i="10"/>
  <c r="AH22" i="10"/>
  <c r="DS22" i="10"/>
  <c r="AP22" i="10"/>
  <c r="AN22" i="10"/>
  <c r="AD22" i="10"/>
  <c r="R25" i="10"/>
  <c r="AP17" i="10"/>
  <c r="AD17" i="10"/>
  <c r="R17" i="10"/>
  <c r="Q17" i="10"/>
  <c r="AJ19" i="10"/>
  <c r="DT22" i="10" a="1"/>
  <c r="DT22" i="10" s="1"/>
  <c r="K23" i="10"/>
  <c r="L23" i="10" s="1"/>
  <c r="I23" i="10"/>
  <c r="AH21" i="10"/>
  <c r="DT24" i="10" a="1"/>
  <c r="DT24" i="10" s="1"/>
  <c r="AN24" i="10"/>
  <c r="AB24" i="10"/>
  <c r="DS24" i="10"/>
  <c r="DR24" i="10"/>
  <c r="AL24" i="10"/>
  <c r="Z24" i="10"/>
  <c r="AB25" i="10"/>
  <c r="DU25" i="10"/>
  <c r="AP25" i="10"/>
  <c r="AD25" i="10"/>
  <c r="AJ25" i="10"/>
  <c r="X25" i="10"/>
  <c r="AH25" i="10"/>
  <c r="J24" i="10"/>
  <c r="DU17" i="10"/>
  <c r="AF17" i="10"/>
  <c r="Q20" i="10"/>
  <c r="DT21" i="10" a="1"/>
  <c r="DT21" i="10" s="1"/>
  <c r="AN21" i="10"/>
  <c r="AB21" i="10"/>
  <c r="DS21" i="10"/>
  <c r="DR21" i="10"/>
  <c r="AL21" i="10"/>
  <c r="Z21" i="10"/>
  <c r="K24" i="10"/>
  <c r="L24" i="10" s="1"/>
  <c r="AD24" i="10"/>
  <c r="AF25" i="10"/>
  <c r="AD23" i="10"/>
  <c r="AP23" i="10"/>
  <c r="DU23" i="10"/>
  <c r="AF23" i="10"/>
  <c r="K3" i="3"/>
  <c r="N25" i="4"/>
  <c r="N24" i="4"/>
  <c r="N23" i="4"/>
  <c r="N22" i="4"/>
  <c r="N21" i="4"/>
  <c r="N20" i="4"/>
  <c r="N19" i="4"/>
  <c r="N18" i="4"/>
  <c r="N17" i="4"/>
  <c r="N16" i="4"/>
  <c r="N15" i="4"/>
  <c r="N14" i="4"/>
  <c r="N13" i="4"/>
  <c r="N12" i="4"/>
  <c r="N11" i="4"/>
  <c r="N10" i="4"/>
  <c r="N9" i="4"/>
  <c r="N8" i="4"/>
  <c r="H25" i="5"/>
  <c r="C25" i="5"/>
  <c r="H24" i="5"/>
  <c r="C24" i="5"/>
  <c r="H23" i="5"/>
  <c r="C23" i="5"/>
  <c r="H22" i="5"/>
  <c r="C22" i="5"/>
  <c r="H21" i="5"/>
  <c r="C21" i="5"/>
  <c r="H20" i="5"/>
  <c r="C20" i="5"/>
  <c r="H19" i="5"/>
  <c r="C19" i="5"/>
  <c r="H18" i="5"/>
  <c r="C18" i="5"/>
  <c r="H17" i="5"/>
  <c r="C17" i="5"/>
  <c r="H16" i="5"/>
  <c r="C16" i="5"/>
  <c r="H15" i="5"/>
  <c r="C15" i="5"/>
  <c r="H14" i="5"/>
  <c r="C14" i="5"/>
  <c r="H13" i="5"/>
  <c r="C13" i="5"/>
  <c r="H12" i="5"/>
  <c r="C12" i="5"/>
  <c r="H11" i="5"/>
  <c r="C11" i="5"/>
  <c r="H10" i="5"/>
  <c r="C10" i="5"/>
  <c r="H9" i="5"/>
  <c r="C9" i="5"/>
  <c r="H8" i="5"/>
  <c r="H7" i="5"/>
  <c r="H6" i="5"/>
  <c r="C8" i="5"/>
  <c r="C7" i="5"/>
  <c r="C6" i="5"/>
  <c r="V25" i="10" l="1"/>
  <c r="M25" i="10"/>
  <c r="S11" i="10"/>
  <c r="U22" i="10"/>
  <c r="V22" i="10"/>
  <c r="M7" i="10"/>
  <c r="Q7" i="10" s="1"/>
  <c r="V12" i="10"/>
  <c r="N11" i="10"/>
  <c r="N25" i="10"/>
  <c r="O11" i="10"/>
  <c r="W25" i="10"/>
  <c r="T12" i="10"/>
  <c r="O10" i="10"/>
  <c r="S13" i="10"/>
  <c r="V24" i="10"/>
  <c r="M24" i="10"/>
  <c r="N13" i="10"/>
  <c r="O13" i="10"/>
  <c r="T13" i="10"/>
  <c r="U13" i="10"/>
  <c r="T11" i="10"/>
  <c r="W13" i="10"/>
  <c r="M10" i="10"/>
  <c r="U12" i="10"/>
  <c r="N10" i="10"/>
  <c r="P7" i="10"/>
  <c r="N7" i="10"/>
  <c r="O7" i="10" s="1"/>
  <c r="U7" i="10" s="1"/>
  <c r="V13" i="10"/>
  <c r="W12" i="10"/>
  <c r="T10" i="10"/>
  <c r="S10" i="10"/>
  <c r="N12" i="10"/>
  <c r="M12" i="10"/>
  <c r="O12" i="10"/>
  <c r="W9" i="10"/>
  <c r="N18" i="10"/>
  <c r="S20" i="10"/>
  <c r="O18" i="10"/>
  <c r="W18" i="10"/>
  <c r="N15" i="10"/>
  <c r="O16" i="10"/>
  <c r="W16" i="10"/>
  <c r="O15" i="10"/>
  <c r="S16" i="10"/>
  <c r="S15" i="10"/>
  <c r="V15" i="10"/>
  <c r="U16" i="10"/>
  <c r="T15" i="10"/>
  <c r="M19" i="10"/>
  <c r="U20" i="10"/>
  <c r="M15" i="10"/>
  <c r="O19" i="10"/>
  <c r="V20" i="10"/>
  <c r="T18" i="10"/>
  <c r="U18" i="10"/>
  <c r="V19" i="10"/>
  <c r="U15" i="10"/>
  <c r="N23" i="10"/>
  <c r="W19" i="10"/>
  <c r="N16" i="10"/>
  <c r="U23" i="10"/>
  <c r="V18" i="10"/>
  <c r="W20" i="10"/>
  <c r="S25" i="10"/>
  <c r="M11" i="10"/>
  <c r="N20" i="10"/>
  <c r="V11" i="10"/>
  <c r="U25" i="10"/>
  <c r="W23" i="10"/>
  <c r="T23" i="10"/>
  <c r="O23" i="10"/>
  <c r="U21" i="10"/>
  <c r="T16" i="10"/>
  <c r="U9" i="10"/>
  <c r="V23" i="10"/>
  <c r="O9" i="10"/>
  <c r="S23" i="10"/>
  <c r="O21" i="10"/>
  <c r="M18" i="10"/>
  <c r="O20" i="10"/>
  <c r="U19" i="10"/>
  <c r="N19" i="10"/>
  <c r="O25" i="10"/>
  <c r="U11" i="10"/>
  <c r="V16" i="10"/>
  <c r="N21" i="10"/>
  <c r="N22" i="10"/>
  <c r="M9" i="10"/>
  <c r="S19" i="10"/>
  <c r="V21" i="10"/>
  <c r="V9" i="10"/>
  <c r="N9" i="10"/>
  <c r="M20" i="10"/>
  <c r="M21" i="10"/>
  <c r="S21" i="10"/>
  <c r="T21" i="10"/>
  <c r="S9" i="10"/>
  <c r="P6" i="10"/>
  <c r="S3" i="9"/>
  <c r="T24" i="10"/>
  <c r="W22" i="10"/>
  <c r="U24" i="10"/>
  <c r="W24" i="10"/>
  <c r="N24" i="10"/>
  <c r="O24" i="10"/>
  <c r="S22" i="10"/>
  <c r="T22" i="10"/>
  <c r="W10" i="10"/>
  <c r="V10" i="10"/>
  <c r="W8" i="10"/>
  <c r="V8" i="10"/>
  <c r="M8" i="10"/>
  <c r="O8" i="10"/>
  <c r="U8" i="10"/>
  <c r="T8" i="10"/>
  <c r="S8" i="10"/>
  <c r="M22" i="10"/>
  <c r="S6" i="10"/>
  <c r="N6" i="10"/>
  <c r="DU13" i="5"/>
  <c r="X13" i="5"/>
  <c r="R20" i="5"/>
  <c r="Q20" i="5"/>
  <c r="P20" i="5"/>
  <c r="DU14" i="5"/>
  <c r="X14" i="5"/>
  <c r="R15" i="5"/>
  <c r="P15" i="5"/>
  <c r="Q15" i="5"/>
  <c r="DU9" i="5"/>
  <c r="X9" i="5"/>
  <c r="DU15" i="5"/>
  <c r="X15" i="5"/>
  <c r="X21" i="5"/>
  <c r="DU21" i="5"/>
  <c r="X25" i="5"/>
  <c r="DU25" i="5"/>
  <c r="DU8" i="5"/>
  <c r="X8" i="5"/>
  <c r="R22" i="5"/>
  <c r="Q22" i="5"/>
  <c r="P22" i="5"/>
  <c r="DU10" i="5"/>
  <c r="X10" i="5"/>
  <c r="DU19" i="5"/>
  <c r="X19" i="5"/>
  <c r="DU16" i="5"/>
  <c r="X16" i="5"/>
  <c r="Q11" i="5"/>
  <c r="P11" i="5"/>
  <c r="R11" i="5"/>
  <c r="P17" i="5"/>
  <c r="R17" i="5"/>
  <c r="Q17" i="5"/>
  <c r="Q23" i="5"/>
  <c r="R23" i="5"/>
  <c r="P23" i="5"/>
  <c r="Q9" i="5"/>
  <c r="R9" i="5"/>
  <c r="P9" i="5"/>
  <c r="X22" i="5"/>
  <c r="DU22" i="5"/>
  <c r="DU11" i="5"/>
  <c r="X11" i="5"/>
  <c r="DU17" i="5"/>
  <c r="X17" i="5"/>
  <c r="X23" i="5"/>
  <c r="DU23" i="5"/>
  <c r="P16" i="5"/>
  <c r="R16" i="5"/>
  <c r="Q16" i="5"/>
  <c r="Q12" i="5"/>
  <c r="P12" i="5"/>
  <c r="R12" i="5"/>
  <c r="P18" i="5"/>
  <c r="R18" i="5"/>
  <c r="Q18" i="5"/>
  <c r="Q24" i="5"/>
  <c r="P24" i="5"/>
  <c r="R24" i="5"/>
  <c r="DU20" i="5"/>
  <c r="X20" i="5"/>
  <c r="Q21" i="5"/>
  <c r="R21" i="5"/>
  <c r="P21" i="5"/>
  <c r="Q10" i="5"/>
  <c r="P10" i="5"/>
  <c r="R10" i="5"/>
  <c r="DU12" i="5"/>
  <c r="X12" i="5"/>
  <c r="DU18" i="5"/>
  <c r="X18" i="5"/>
  <c r="X24" i="5"/>
  <c r="DU24" i="5"/>
  <c r="Q14" i="5"/>
  <c r="P14" i="5"/>
  <c r="R14" i="5"/>
  <c r="R8" i="5"/>
  <c r="Q8" i="5"/>
  <c r="P8" i="5"/>
  <c r="Q13" i="5"/>
  <c r="P13" i="5"/>
  <c r="R13" i="5"/>
  <c r="P19" i="5"/>
  <c r="R19" i="5"/>
  <c r="Q19" i="5"/>
  <c r="Q25" i="5"/>
  <c r="P25" i="5"/>
  <c r="R25" i="5"/>
  <c r="AD4" i="10"/>
  <c r="T6" i="10"/>
  <c r="DT16" i="5" a="1"/>
  <c r="DT16" i="5" s="1"/>
  <c r="DT19" i="5" a="1"/>
  <c r="DT19" i="5" s="1"/>
  <c r="DT23" i="5" a="1"/>
  <c r="DT23" i="5" s="1"/>
  <c r="DT12" i="5" a="1"/>
  <c r="DT12" i="5" s="1"/>
  <c r="DT8" i="5" a="1"/>
  <c r="DT8" i="5" s="1"/>
  <c r="DT9" i="5" a="1"/>
  <c r="DT9" i="5" s="1"/>
  <c r="DT21" i="5" a="1"/>
  <c r="DT21" i="5" s="1"/>
  <c r="DT13" i="5" a="1"/>
  <c r="DT13" i="5" s="1"/>
  <c r="DT24" i="5" a="1"/>
  <c r="DT24" i="5" s="1"/>
  <c r="DT25" i="5" a="1"/>
  <c r="DT25" i="5" s="1"/>
  <c r="DT20" i="5" a="1"/>
  <c r="DT20" i="5" s="1"/>
  <c r="DT14" i="5" a="1"/>
  <c r="DT14" i="5" s="1"/>
  <c r="DT10" i="5" a="1"/>
  <c r="DT10" i="5" s="1"/>
  <c r="DT22" i="5" a="1"/>
  <c r="DT22" i="5" s="1"/>
  <c r="DT15" i="5" a="1"/>
  <c r="DT15" i="5" s="1"/>
  <c r="DT11" i="5" a="1"/>
  <c r="DT11" i="5" s="1"/>
  <c r="DT18" i="5" a="1"/>
  <c r="DT18" i="5" s="1"/>
  <c r="DT17" i="5" a="1"/>
  <c r="DT17" i="5" s="1"/>
  <c r="E23" i="3"/>
  <c r="E22" i="3"/>
  <c r="E21" i="3"/>
  <c r="E20" i="3"/>
  <c r="E19" i="3"/>
  <c r="E18" i="3"/>
  <c r="E17" i="3"/>
  <c r="E16" i="3"/>
  <c r="E15" i="3"/>
  <c r="E14" i="3"/>
  <c r="E13" i="3"/>
  <c r="E12" i="3"/>
  <c r="E11" i="3"/>
  <c r="E10" i="3"/>
  <c r="E9" i="3"/>
  <c r="E8" i="3"/>
  <c r="E7" i="3"/>
  <c r="E6" i="3"/>
  <c r="E5" i="3"/>
  <c r="E4" i="3"/>
  <c r="X6" i="10" l="1"/>
  <c r="Y6" i="10" s="1"/>
  <c r="Z6" i="10" s="1"/>
  <c r="AA6" i="10" s="1"/>
  <c r="T7" i="10"/>
  <c r="V7" i="10"/>
  <c r="R7" i="10"/>
  <c r="O6" i="10"/>
  <c r="V6" i="10"/>
  <c r="AF4" i="10"/>
  <c r="G26" i="4"/>
  <c r="H24" i="3"/>
  <c r="F6" i="5"/>
  <c r="E25" i="4"/>
  <c r="D25" i="5" s="1"/>
  <c r="E24" i="4"/>
  <c r="D24" i="5" s="1"/>
  <c r="J24" i="5" s="1"/>
  <c r="E23" i="4"/>
  <c r="D23" i="5" s="1"/>
  <c r="E22" i="4"/>
  <c r="D22" i="5" s="1"/>
  <c r="E21" i="4"/>
  <c r="D21" i="5" s="1"/>
  <c r="E20" i="4"/>
  <c r="D20" i="5" s="1"/>
  <c r="E19" i="4"/>
  <c r="D19" i="5" s="1"/>
  <c r="E18" i="4"/>
  <c r="D18" i="5" s="1"/>
  <c r="E17" i="4"/>
  <c r="D17" i="5" s="1"/>
  <c r="E16" i="4"/>
  <c r="D16" i="5" s="1"/>
  <c r="E15" i="4"/>
  <c r="D15" i="5" s="1"/>
  <c r="E14" i="4"/>
  <c r="D14" i="5" s="1"/>
  <c r="E13" i="4"/>
  <c r="D13" i="5" s="1"/>
  <c r="E12" i="4"/>
  <c r="D12" i="5" s="1"/>
  <c r="E11" i="4"/>
  <c r="D11" i="5" s="1"/>
  <c r="E10" i="4"/>
  <c r="D10" i="5" s="1"/>
  <c r="E9" i="4"/>
  <c r="D9" i="5" s="1"/>
  <c r="E8" i="4"/>
  <c r="E7" i="4"/>
  <c r="AB6" i="10" l="1"/>
  <c r="W7" i="10"/>
  <c r="DU7" i="10" s="1"/>
  <c r="R6" i="10"/>
  <c r="U6" i="10"/>
  <c r="W6" i="10" s="1"/>
  <c r="AH4" i="10"/>
  <c r="P6" i="5"/>
  <c r="S6" i="5"/>
  <c r="M6" i="5"/>
  <c r="N6" i="5"/>
  <c r="D6" i="5"/>
  <c r="D7" i="5"/>
  <c r="I7" i="5" s="1"/>
  <c r="K9" i="5"/>
  <c r="J9" i="5"/>
  <c r="K23" i="5"/>
  <c r="J23" i="5"/>
  <c r="K21" i="5"/>
  <c r="J21" i="5"/>
  <c r="K25" i="5"/>
  <c r="J25" i="5"/>
  <c r="K22" i="5"/>
  <c r="J22" i="5"/>
  <c r="K13" i="5"/>
  <c r="J13" i="5"/>
  <c r="J19" i="5"/>
  <c r="K19" i="5"/>
  <c r="K10" i="5"/>
  <c r="J10" i="5"/>
  <c r="K12" i="5"/>
  <c r="J12" i="5"/>
  <c r="J14" i="5"/>
  <c r="K14" i="5"/>
  <c r="J15" i="5"/>
  <c r="K15" i="5"/>
  <c r="K18" i="5"/>
  <c r="J18" i="5"/>
  <c r="J20" i="5"/>
  <c r="K20" i="5"/>
  <c r="K11" i="5"/>
  <c r="J11" i="5"/>
  <c r="K24" i="5"/>
  <c r="J16" i="5"/>
  <c r="K16" i="5"/>
  <c r="J17" i="5"/>
  <c r="K17" i="5"/>
  <c r="I15" i="5"/>
  <c r="I16" i="5"/>
  <c r="I17" i="5"/>
  <c r="I18" i="5"/>
  <c r="I19" i="5"/>
  <c r="D8" i="5"/>
  <c r="I20" i="5"/>
  <c r="I9" i="5"/>
  <c r="I10" i="5"/>
  <c r="I22" i="5"/>
  <c r="I11" i="5"/>
  <c r="I23" i="5"/>
  <c r="I13" i="5"/>
  <c r="I25" i="5"/>
  <c r="I14" i="5"/>
  <c r="I21" i="5"/>
  <c r="I12" i="5"/>
  <c r="I24" i="5"/>
  <c r="F25" i="5"/>
  <c r="F24" i="5"/>
  <c r="F23" i="5"/>
  <c r="F22" i="5"/>
  <c r="F21" i="5"/>
  <c r="F20" i="5"/>
  <c r="F19" i="5"/>
  <c r="F18" i="5"/>
  <c r="F17" i="5"/>
  <c r="F16" i="5"/>
  <c r="F15" i="5"/>
  <c r="F14" i="5"/>
  <c r="F13" i="5"/>
  <c r="F12" i="5"/>
  <c r="F11" i="5"/>
  <c r="F10" i="5"/>
  <c r="F9" i="5"/>
  <c r="F8" i="5"/>
  <c r="F7" i="5"/>
  <c r="E25" i="5"/>
  <c r="E24" i="5"/>
  <c r="E23" i="5"/>
  <c r="E22" i="5"/>
  <c r="E21" i="5"/>
  <c r="E20" i="5"/>
  <c r="E19" i="5"/>
  <c r="E18" i="5"/>
  <c r="E17" i="5"/>
  <c r="E16" i="5"/>
  <c r="E15" i="5"/>
  <c r="E14" i="5"/>
  <c r="E13" i="5"/>
  <c r="E12" i="5"/>
  <c r="E11" i="5"/>
  <c r="E10" i="5"/>
  <c r="E9" i="5"/>
  <c r="E8" i="5"/>
  <c r="G22" i="1"/>
  <c r="G21" i="1"/>
  <c r="G20" i="1"/>
  <c r="G19" i="1"/>
  <c r="G18" i="1"/>
  <c r="G17" i="1"/>
  <c r="G16" i="1"/>
  <c r="G15" i="1"/>
  <c r="G14" i="1"/>
  <c r="G13" i="1"/>
  <c r="G12" i="1"/>
  <c r="G11" i="1"/>
  <c r="G10" i="1"/>
  <c r="G9" i="1"/>
  <c r="G8" i="1"/>
  <c r="G7" i="1"/>
  <c r="G6" i="1"/>
  <c r="G5" i="1"/>
  <c r="G4" i="1"/>
  <c r="E7" i="5" s="1"/>
  <c r="G3" i="1"/>
  <c r="AC6" i="10" l="1"/>
  <c r="AD6" i="10" s="1"/>
  <c r="AE6" i="10" s="1"/>
  <c r="AJ4" i="10"/>
  <c r="O6" i="5"/>
  <c r="U6" i="5" s="1"/>
  <c r="T6" i="5"/>
  <c r="Q6" i="5"/>
  <c r="V6" i="5"/>
  <c r="U19" i="5"/>
  <c r="N19" i="5"/>
  <c r="W19" i="5"/>
  <c r="T19" i="5"/>
  <c r="O19" i="5"/>
  <c r="V19" i="5"/>
  <c r="M19" i="5"/>
  <c r="S19" i="5"/>
  <c r="S20" i="5"/>
  <c r="O20" i="5"/>
  <c r="U20" i="5"/>
  <c r="W20" i="5"/>
  <c r="T20" i="5"/>
  <c r="V20" i="5"/>
  <c r="M20" i="5"/>
  <c r="N20" i="5"/>
  <c r="W16" i="5"/>
  <c r="O16" i="5"/>
  <c r="N16" i="5"/>
  <c r="S16" i="5"/>
  <c r="M16" i="5"/>
  <c r="T16" i="5"/>
  <c r="V16" i="5"/>
  <c r="U16" i="5"/>
  <c r="V21" i="5"/>
  <c r="S21" i="5"/>
  <c r="O21" i="5"/>
  <c r="W21" i="5"/>
  <c r="M21" i="5"/>
  <c r="T21" i="5"/>
  <c r="U21" i="5"/>
  <c r="N21" i="5"/>
  <c r="M22" i="5"/>
  <c r="W22" i="5"/>
  <c r="T22" i="5"/>
  <c r="O22" i="5"/>
  <c r="N22" i="5"/>
  <c r="U22" i="5"/>
  <c r="V22" i="5"/>
  <c r="S22" i="5"/>
  <c r="U23" i="5"/>
  <c r="T23" i="5"/>
  <c r="N23" i="5"/>
  <c r="W23" i="5"/>
  <c r="S23" i="5"/>
  <c r="V23" i="5"/>
  <c r="O23" i="5"/>
  <c r="M23" i="5"/>
  <c r="S10" i="5"/>
  <c r="T10" i="5"/>
  <c r="V10" i="5"/>
  <c r="U10" i="5"/>
  <c r="W10" i="5"/>
  <c r="N10" i="5"/>
  <c r="O10" i="5"/>
  <c r="M10" i="5"/>
  <c r="V11" i="5"/>
  <c r="U11" i="5"/>
  <c r="O11" i="5"/>
  <c r="T11" i="5"/>
  <c r="S11" i="5"/>
  <c r="N11" i="5"/>
  <c r="W11" i="5"/>
  <c r="M11" i="5"/>
  <c r="W12" i="5"/>
  <c r="M12" i="5"/>
  <c r="U12" i="5"/>
  <c r="V12" i="5"/>
  <c r="S12" i="5"/>
  <c r="O12" i="5"/>
  <c r="T12" i="5"/>
  <c r="N12" i="5"/>
  <c r="O24" i="5"/>
  <c r="T24" i="5"/>
  <c r="S24" i="5"/>
  <c r="W24" i="5"/>
  <c r="U24" i="5"/>
  <c r="V24" i="5"/>
  <c r="N24" i="5"/>
  <c r="M24" i="5"/>
  <c r="S18" i="5"/>
  <c r="T18" i="5"/>
  <c r="V18" i="5"/>
  <c r="M18" i="5"/>
  <c r="O18" i="5"/>
  <c r="N18" i="5"/>
  <c r="W18" i="5"/>
  <c r="U18" i="5"/>
  <c r="T9" i="5"/>
  <c r="O9" i="5"/>
  <c r="W9" i="5"/>
  <c r="S9" i="5"/>
  <c r="V9" i="5"/>
  <c r="M9" i="5"/>
  <c r="U9" i="5"/>
  <c r="N9" i="5"/>
  <c r="W13" i="5"/>
  <c r="U13" i="5"/>
  <c r="S13" i="5"/>
  <c r="M13" i="5"/>
  <c r="N13" i="5"/>
  <c r="V13" i="5"/>
  <c r="O13" i="5"/>
  <c r="T13" i="5"/>
  <c r="U25" i="5"/>
  <c r="V25" i="5"/>
  <c r="O25" i="5"/>
  <c r="S25" i="5"/>
  <c r="N25" i="5"/>
  <c r="W25" i="5"/>
  <c r="T25" i="5"/>
  <c r="M25" i="5"/>
  <c r="U8" i="5"/>
  <c r="O8" i="5"/>
  <c r="T8" i="5"/>
  <c r="M8" i="5"/>
  <c r="W8" i="5"/>
  <c r="V8" i="5"/>
  <c r="S8" i="5"/>
  <c r="N8" i="5"/>
  <c r="W14" i="5"/>
  <c r="U14" i="5"/>
  <c r="V14" i="5"/>
  <c r="S14" i="5"/>
  <c r="M14" i="5"/>
  <c r="N14" i="5"/>
  <c r="T14" i="5"/>
  <c r="O14" i="5"/>
  <c r="V17" i="5"/>
  <c r="W17" i="5"/>
  <c r="N17" i="5"/>
  <c r="S17" i="5"/>
  <c r="M17" i="5"/>
  <c r="T17" i="5"/>
  <c r="U17" i="5"/>
  <c r="O17" i="5"/>
  <c r="P7" i="5"/>
  <c r="N7" i="5"/>
  <c r="M7" i="5"/>
  <c r="S7" i="5"/>
  <c r="T15" i="5"/>
  <c r="U15" i="5"/>
  <c r="V15" i="5"/>
  <c r="N15" i="5"/>
  <c r="W15" i="5"/>
  <c r="M15" i="5"/>
  <c r="S15" i="5"/>
  <c r="O15" i="5"/>
  <c r="I6" i="5"/>
  <c r="K7" i="5"/>
  <c r="L7" i="5" s="1"/>
  <c r="J7" i="5"/>
  <c r="K6" i="5"/>
  <c r="J6" i="5"/>
  <c r="L10" i="5"/>
  <c r="J8" i="5"/>
  <c r="K8" i="5"/>
  <c r="L8" i="5" s="1"/>
  <c r="L11" i="5"/>
  <c r="L23" i="5"/>
  <c r="L19" i="5"/>
  <c r="L18" i="5"/>
  <c r="L20" i="5"/>
  <c r="L9" i="5"/>
  <c r="L21" i="5"/>
  <c r="I24" i="3"/>
  <c r="L16" i="5"/>
  <c r="L17" i="5"/>
  <c r="I8" i="5"/>
  <c r="L22" i="5"/>
  <c r="L12" i="5"/>
  <c r="L25" i="5"/>
  <c r="L24" i="5"/>
  <c r="L13" i="5"/>
  <c r="L14" i="5"/>
  <c r="L15" i="5"/>
  <c r="AF6" i="10" l="1"/>
  <c r="AG6" i="10" s="1"/>
  <c r="X7" i="5"/>
  <c r="AL4" i="10"/>
  <c r="W6" i="5"/>
  <c r="R6" i="5"/>
  <c r="O7" i="5"/>
  <c r="U7" i="5" s="1"/>
  <c r="T7" i="5"/>
  <c r="Q7" i="5"/>
  <c r="V7" i="5"/>
  <c r="E6" i="5"/>
  <c r="AH6" i="10" l="1"/>
  <c r="AI6" i="10" s="1"/>
  <c r="AJ6" i="10" s="1"/>
  <c r="DU6" i="5"/>
  <c r="AN4" i="10"/>
  <c r="R7" i="5"/>
  <c r="W7" i="5"/>
  <c r="DU7" i="5" s="1"/>
  <c r="N7" i="9" s="1"/>
  <c r="Q7" i="9" s="1"/>
  <c r="L6" i="5"/>
  <c r="B25" i="4"/>
  <c r="B24" i="4"/>
  <c r="B23" i="4"/>
  <c r="B22" i="4"/>
  <c r="B21" i="4"/>
  <c r="B20" i="4"/>
  <c r="B19" i="4"/>
  <c r="B18" i="4"/>
  <c r="B17" i="4"/>
  <c r="B16" i="4"/>
  <c r="B15" i="4"/>
  <c r="B14" i="4"/>
  <c r="B13" i="4"/>
  <c r="B12" i="4"/>
  <c r="B11" i="4"/>
  <c r="B10" i="4"/>
  <c r="B9" i="4"/>
  <c r="B8" i="4"/>
  <c r="B7" i="4"/>
  <c r="B6" i="4"/>
  <c r="B23" i="3"/>
  <c r="B22" i="3"/>
  <c r="B21" i="3"/>
  <c r="B20" i="3"/>
  <c r="B19" i="3"/>
  <c r="B18" i="3"/>
  <c r="B17" i="3"/>
  <c r="B16" i="3"/>
  <c r="B15" i="3"/>
  <c r="B14" i="3"/>
  <c r="B13" i="3"/>
  <c r="B12" i="3"/>
  <c r="B11" i="3"/>
  <c r="B10" i="3"/>
  <c r="B9" i="3"/>
  <c r="B8" i="3"/>
  <c r="B7" i="3"/>
  <c r="B6" i="3"/>
  <c r="B5" i="3"/>
  <c r="B4" i="3"/>
  <c r="AK6" i="10" l="1"/>
  <c r="AL6" i="10" s="1"/>
  <c r="AP4" i="10"/>
  <c r="B22" i="1"/>
  <c r="B21" i="1"/>
  <c r="B20" i="1"/>
  <c r="B19" i="1"/>
  <c r="B18" i="1"/>
  <c r="B17" i="1"/>
  <c r="B16" i="1"/>
  <c r="B15" i="1"/>
  <c r="B14" i="1"/>
  <c r="B13" i="1"/>
  <c r="B12" i="1"/>
  <c r="B11" i="1"/>
  <c r="B10" i="1"/>
  <c r="B9" i="1"/>
  <c r="B8" i="1"/>
  <c r="B7" i="1"/>
  <c r="B6" i="1"/>
  <c r="B5" i="1"/>
  <c r="B4" i="1"/>
  <c r="B3" i="1"/>
  <c r="AM6" i="10" l="1"/>
  <c r="AN6" i="10" s="1"/>
  <c r="AR4" i="10"/>
  <c r="AO6" i="10" l="1"/>
  <c r="AP6" i="10" s="1"/>
  <c r="AQ6" i="10" s="1"/>
  <c r="AR6" i="10" s="1"/>
  <c r="AT4" i="10"/>
  <c r="AS6" i="10" l="1"/>
  <c r="AT6" i="10" s="1"/>
  <c r="AV4" i="10"/>
  <c r="AU6" i="10" l="1"/>
  <c r="AV6" i="10" s="1"/>
  <c r="AX4" i="10"/>
  <c r="AW6" i="10" l="1"/>
  <c r="AX6" i="10" s="1"/>
  <c r="AZ4" i="10"/>
  <c r="AY6" i="10" l="1"/>
  <c r="AZ6" i="10" s="1"/>
  <c r="BB4" i="10"/>
  <c r="BA6" i="10" l="1"/>
  <c r="BB6" i="10" s="1"/>
  <c r="BD4" i="10"/>
  <c r="BC6" i="10" l="1"/>
  <c r="BD6" i="10" s="1"/>
  <c r="BF4" i="10"/>
  <c r="BE6" i="10" l="1"/>
  <c r="BF6" i="10" s="1"/>
  <c r="BH4" i="10"/>
  <c r="BG6" i="10" l="1"/>
  <c r="BH6" i="10" s="1"/>
  <c r="BJ4" i="10"/>
  <c r="BI6" i="10" l="1"/>
  <c r="BJ6" i="10" s="1"/>
  <c r="BL4" i="10"/>
  <c r="BK6" i="10" l="1"/>
  <c r="BL6" i="10" s="1"/>
  <c r="BN4" i="10"/>
  <c r="BM6" i="10" l="1"/>
  <c r="BN6" i="10" s="1"/>
  <c r="BP4" i="10"/>
  <c r="BO6" i="10" l="1"/>
  <c r="BP6" i="10" s="1"/>
  <c r="BR4" i="10"/>
  <c r="BQ6" i="10" l="1"/>
  <c r="BR6" i="10" s="1"/>
  <c r="BT4" i="10"/>
  <c r="BS6" i="10" l="1"/>
  <c r="BT6" i="10" s="1"/>
  <c r="BV4" i="10"/>
  <c r="BU6" i="10" l="1"/>
  <c r="BV6" i="10" s="1"/>
  <c r="BX4" i="10"/>
  <c r="BW6" i="10" l="1"/>
  <c r="BX6" i="10" s="1"/>
  <c r="BZ4" i="10"/>
  <c r="BY6" i="10" l="1"/>
  <c r="BZ6" i="10" s="1"/>
  <c r="CB4" i="10"/>
  <c r="CA6" i="10" l="1"/>
  <c r="CB6" i="10" s="1"/>
  <c r="CD4" i="10"/>
  <c r="CC6" i="10" l="1"/>
  <c r="CD6" i="10" s="1"/>
  <c r="CF4" i="10"/>
  <c r="CE6" i="10" l="1"/>
  <c r="CF6" i="10" s="1"/>
  <c r="CH4" i="10"/>
  <c r="CG6" i="10" l="1"/>
  <c r="CH6" i="10" s="1"/>
  <c r="CJ4" i="10"/>
  <c r="CI6" i="10" l="1"/>
  <c r="CJ6" i="10" s="1"/>
  <c r="CL4" i="10"/>
  <c r="CK6" i="10" l="1"/>
  <c r="CL6" i="10" s="1"/>
  <c r="CN4" i="10"/>
  <c r="CM6" i="10" l="1"/>
  <c r="CN6" i="10" s="1"/>
  <c r="CP4" i="10"/>
  <c r="CO6" i="10" l="1"/>
  <c r="CP6" i="10" s="1"/>
  <c r="CR4" i="10"/>
  <c r="CQ6" i="10" l="1"/>
  <c r="CR6" i="10" s="1"/>
  <c r="CT4" i="10"/>
  <c r="CS6" i="10" l="1"/>
  <c r="CT6" i="10" s="1"/>
  <c r="CV4" i="10"/>
  <c r="CU6" i="10" l="1"/>
  <c r="CV6" i="10" s="1"/>
  <c r="CX4" i="10"/>
  <c r="CW6" i="10" l="1"/>
  <c r="CX6" i="10" s="1"/>
  <c r="CZ4" i="10"/>
  <c r="CY6" i="10" l="1"/>
  <c r="CZ6" i="10" s="1"/>
  <c r="DB4" i="10"/>
  <c r="DA6" i="10" l="1"/>
  <c r="DB6" i="10" s="1"/>
  <c r="DD4" i="10"/>
  <c r="DC6" i="10" l="1"/>
  <c r="DD6" i="10" s="1"/>
  <c r="DF4" i="10"/>
  <c r="DE6" i="10" l="1"/>
  <c r="DF6" i="10" s="1"/>
  <c r="DH4" i="10"/>
  <c r="DG6" i="10" l="1"/>
  <c r="DH6" i="10" s="1"/>
  <c r="DJ4" i="10"/>
  <c r="DI6" i="10" l="1"/>
  <c r="DJ6" i="10" s="1"/>
  <c r="DL4" i="10"/>
  <c r="DK6" i="10" l="1"/>
  <c r="DL6" i="10" s="1"/>
  <c r="DN4" i="10"/>
  <c r="DM6" i="10" l="1"/>
  <c r="DN6" i="10" s="1"/>
  <c r="DP4" i="10"/>
  <c r="DO6" i="10" l="1"/>
  <c r="DP6" i="10" s="1"/>
  <c r="DQ6" i="10" s="1"/>
  <c r="DR4" i="10"/>
  <c r="DR6" i="10" l="1"/>
  <c r="DS6" i="10" s="1"/>
  <c r="DT6" i="10" l="1" a="1"/>
  <c r="DT6" i="10" s="1"/>
  <c r="X6" i="5" l="1"/>
  <c r="Z4" i="5"/>
  <c r="AB4" i="5" s="1"/>
  <c r="AD4" i="5" s="1"/>
  <c r="AF4" i="5" l="1"/>
  <c r="AH4" i="5" l="1"/>
  <c r="AJ4" i="5" l="1"/>
  <c r="AL4" i="5" l="1"/>
  <c r="AN4" i="5" l="1"/>
  <c r="AP4" i="5" l="1"/>
  <c r="AR4" i="5" l="1"/>
  <c r="AT4" i="5" l="1"/>
  <c r="AV4" i="5" l="1"/>
  <c r="AX4" i="5" l="1"/>
  <c r="DT7" i="5" l="1" a="1"/>
  <c r="DT7" i="5" s="1"/>
  <c r="N7" i="4" s="1"/>
  <c r="AZ4" i="5"/>
  <c r="AA7" i="4" l="1"/>
  <c r="Q7" i="4"/>
  <c r="BB4" i="5"/>
  <c r="BD4" i="5" l="1"/>
  <c r="BF4" i="5" l="1"/>
  <c r="BH4" i="5" l="1"/>
  <c r="BJ4" i="5" l="1"/>
  <c r="BL4" i="5" l="1"/>
  <c r="BN4" i="5" l="1"/>
  <c r="BP4" i="5" l="1"/>
  <c r="BR4" i="5" l="1"/>
  <c r="BT4" i="5" l="1"/>
  <c r="BV4" i="5" l="1"/>
  <c r="BX4" i="5" l="1"/>
  <c r="BZ4" i="5" l="1"/>
  <c r="CB4" i="5" l="1"/>
  <c r="CD4" i="5" l="1"/>
  <c r="CF4" i="5" l="1"/>
  <c r="CH4" i="5" l="1"/>
  <c r="CJ4" i="5" l="1"/>
  <c r="CL4" i="5" l="1"/>
  <c r="CN4" i="5" l="1"/>
  <c r="CP4" i="5" l="1"/>
  <c r="CR4" i="5" l="1"/>
  <c r="CT4" i="5" l="1"/>
  <c r="CV4" i="5" l="1"/>
  <c r="CX4" i="5" l="1"/>
  <c r="CZ4" i="5" l="1"/>
  <c r="DB4" i="5" l="1"/>
  <c r="DD4" i="5" l="1"/>
  <c r="DF4" i="5" l="1"/>
  <c r="DH4" i="5" l="1"/>
  <c r="DJ4" i="5" l="1"/>
  <c r="DL4" i="5" l="1"/>
  <c r="DN4" i="5" l="1"/>
  <c r="DP4" i="5" l="1"/>
  <c r="DR4" i="5" l="1"/>
  <c r="DT6" i="5" l="1" a="1"/>
  <c r="DT6" i="5" s="1"/>
  <c r="N6" i="9" s="1"/>
  <c r="Q6" i="9" s="1"/>
  <c r="Q26" i="9" s="1"/>
  <c r="N6" i="4" l="1"/>
  <c r="AA6" i="4" l="1"/>
  <c r="Q6" i="4"/>
  <c r="Q26" i="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<sst xmlns="http://schemas.openxmlformats.org/spreadsheetml/2006/main" count="3078" uniqueCount="547">
  <si>
    <t>1. 本ファイルの目的</t>
    <rPh sb="3" eb="4">
      <t>ホン</t>
    </rPh>
    <rPh sb="8" eb="10">
      <t>モクテキ</t>
    </rPh>
    <phoneticPr fontId="2"/>
  </si>
  <si>
    <t>本ファイルは、「新事業進出補助金」の実績報告、財産処分承認申請、財産処分報告時に提出いただく「取得財産等管理台帳」のフォーマットです。</t>
    <rPh sb="0" eb="1">
      <t>ホン</t>
    </rPh>
    <rPh sb="8" eb="11">
      <t>シンジギョウ</t>
    </rPh>
    <rPh sb="11" eb="13">
      <t>シンシュツ</t>
    </rPh>
    <rPh sb="13" eb="16">
      <t>ホジョキン</t>
    </rPh>
    <rPh sb="18" eb="20">
      <t>ジッセキ</t>
    </rPh>
    <rPh sb="20" eb="22">
      <t>ホウコク</t>
    </rPh>
    <rPh sb="23" eb="25">
      <t>ザイサン</t>
    </rPh>
    <rPh sb="25" eb="27">
      <t>ショブン</t>
    </rPh>
    <rPh sb="27" eb="29">
      <t>ショウニン</t>
    </rPh>
    <rPh sb="29" eb="31">
      <t>シンセイ</t>
    </rPh>
    <rPh sb="32" eb="34">
      <t>ザイサン</t>
    </rPh>
    <rPh sb="34" eb="36">
      <t>ショブン</t>
    </rPh>
    <rPh sb="36" eb="38">
      <t>ホウコク</t>
    </rPh>
    <rPh sb="38" eb="39">
      <t>ジ</t>
    </rPh>
    <rPh sb="40" eb="42">
      <t>テイシュツ</t>
    </rPh>
    <rPh sb="47" eb="49">
      <t>シュトク</t>
    </rPh>
    <rPh sb="49" eb="51">
      <t>ザイサン</t>
    </rPh>
    <rPh sb="51" eb="52">
      <t>トウ</t>
    </rPh>
    <rPh sb="52" eb="54">
      <t>カンリ</t>
    </rPh>
    <rPh sb="54" eb="56">
      <t>ダイチョウ</t>
    </rPh>
    <phoneticPr fontId="2"/>
  </si>
  <si>
    <t>「3. 本ファイルの利用方法」に従い作成の上、各手続き時に電子申請システムに添付してください。</t>
    <rPh sb="4" eb="5">
      <t>ホン</t>
    </rPh>
    <rPh sb="10" eb="12">
      <t>リヨウ</t>
    </rPh>
    <rPh sb="12" eb="14">
      <t>ホウホウ</t>
    </rPh>
    <rPh sb="16" eb="17">
      <t>シタガ</t>
    </rPh>
    <rPh sb="18" eb="20">
      <t>サクセイ</t>
    </rPh>
    <rPh sb="21" eb="22">
      <t>ウエ</t>
    </rPh>
    <rPh sb="23" eb="24">
      <t>カク</t>
    </rPh>
    <rPh sb="24" eb="26">
      <t>テツヅ</t>
    </rPh>
    <rPh sb="27" eb="28">
      <t>ジ</t>
    </rPh>
    <rPh sb="29" eb="31">
      <t>デンシ</t>
    </rPh>
    <rPh sb="31" eb="33">
      <t>シンセイ</t>
    </rPh>
    <rPh sb="38" eb="40">
      <t>テンプ</t>
    </rPh>
    <phoneticPr fontId="2"/>
  </si>
  <si>
    <t>2. 各シートの概要</t>
    <rPh sb="3" eb="4">
      <t>カク</t>
    </rPh>
    <rPh sb="8" eb="10">
      <t>ガイヨウ</t>
    </rPh>
    <phoneticPr fontId="2"/>
  </si>
  <si>
    <t>シート名</t>
    <rPh sb="3" eb="4">
      <t>メイ</t>
    </rPh>
    <phoneticPr fontId="26"/>
  </si>
  <si>
    <t>主な内容・役割</t>
    <rPh sb="0" eb="1">
      <t>オモ</t>
    </rPh>
    <rPh sb="2" eb="4">
      <t>ナイヨウ</t>
    </rPh>
    <rPh sb="5" eb="7">
      <t>ヤクワリ</t>
    </rPh>
    <phoneticPr fontId="26"/>
  </si>
  <si>
    <t>はじめに</t>
    <phoneticPr fontId="26"/>
  </si>
  <si>
    <t>(※本シート) 本ファイルの目的、各シートの入力方法等について説明しています。</t>
    <rPh sb="2" eb="3">
      <t>ホン</t>
    </rPh>
    <rPh sb="8" eb="9">
      <t>ホン</t>
    </rPh>
    <rPh sb="14" eb="16">
      <t>モクテキ</t>
    </rPh>
    <rPh sb="17" eb="18">
      <t>カク</t>
    </rPh>
    <rPh sb="22" eb="24">
      <t>ニュウリョク</t>
    </rPh>
    <rPh sb="24" eb="26">
      <t>ホウホウ</t>
    </rPh>
    <rPh sb="26" eb="27">
      <t>トウ</t>
    </rPh>
    <rPh sb="31" eb="33">
      <t>セツメイ</t>
    </rPh>
    <phoneticPr fontId="26"/>
  </si>
  <si>
    <t>取得財産等管理台帳</t>
    <rPh sb="0" eb="2">
      <t>シュトク</t>
    </rPh>
    <rPh sb="2" eb="4">
      <t>ザイサン</t>
    </rPh>
    <rPh sb="4" eb="5">
      <t>トウ</t>
    </rPh>
    <rPh sb="5" eb="7">
      <t>カンリ</t>
    </rPh>
    <rPh sb="7" eb="9">
      <t>ダイチョウ</t>
    </rPh>
    <phoneticPr fontId="26"/>
  </si>
  <si>
    <r>
      <rPr>
        <b/>
        <sz val="11"/>
        <color theme="4"/>
        <rFont val="Meiryo UI"/>
        <family val="3"/>
        <charset val="128"/>
      </rPr>
      <t>※実績報告時に入力・提出するシートです。</t>
    </r>
    <r>
      <rPr>
        <sz val="11"/>
        <color theme="1"/>
        <rFont val="Meiryo UI"/>
        <family val="3"/>
        <charset val="128"/>
      </rPr>
      <t xml:space="preserve">
本補助金で取得した処分制限財産(取得価格又は効用の増加価格が50万円(税抜)以上の機械、器具及びその他の財産)の
情報を入力します。</t>
    </r>
    <rPh sb="1" eb="3">
      <t>ジッセキ</t>
    </rPh>
    <rPh sb="3" eb="5">
      <t>ホウコク</t>
    </rPh>
    <rPh sb="5" eb="6">
      <t>ジ</t>
    </rPh>
    <rPh sb="7" eb="9">
      <t>ニュウリョク</t>
    </rPh>
    <rPh sb="10" eb="12">
      <t>テイシュツ</t>
    </rPh>
    <rPh sb="21" eb="22">
      <t>ホン</t>
    </rPh>
    <rPh sb="22" eb="25">
      <t>ホジョキン</t>
    </rPh>
    <rPh sb="26" eb="28">
      <t>シュトク</t>
    </rPh>
    <rPh sb="30" eb="32">
      <t>ショブン</t>
    </rPh>
    <rPh sb="32" eb="34">
      <t>セイゲン</t>
    </rPh>
    <rPh sb="34" eb="36">
      <t>ザイサン</t>
    </rPh>
    <rPh sb="37" eb="39">
      <t>シュトク</t>
    </rPh>
    <rPh sb="39" eb="41">
      <t>カカク</t>
    </rPh>
    <rPh sb="41" eb="42">
      <t>マタ</t>
    </rPh>
    <rPh sb="43" eb="45">
      <t>コウヨウ</t>
    </rPh>
    <rPh sb="46" eb="48">
      <t>ゾウカ</t>
    </rPh>
    <rPh sb="48" eb="50">
      <t>カカク</t>
    </rPh>
    <rPh sb="53" eb="55">
      <t>マンエン</t>
    </rPh>
    <rPh sb="56" eb="58">
      <t>ゼイヌキ</t>
    </rPh>
    <rPh sb="59" eb="61">
      <t>イジョウ</t>
    </rPh>
    <rPh sb="62" eb="64">
      <t>キカイ</t>
    </rPh>
    <rPh sb="65" eb="67">
      <t>キグ</t>
    </rPh>
    <rPh sb="67" eb="68">
      <t>オヨ</t>
    </rPh>
    <rPh sb="71" eb="72">
      <t>タ</t>
    </rPh>
    <rPh sb="73" eb="75">
      <t>ザイサン</t>
    </rPh>
    <rPh sb="78" eb="80">
      <t>ジョウホウ</t>
    </rPh>
    <rPh sb="81" eb="83">
      <t>ニュウリョク</t>
    </rPh>
    <phoneticPr fontId="2"/>
  </si>
  <si>
    <t>財産処分承認申請用</t>
    <rPh sb="0" eb="2">
      <t>ザイサン</t>
    </rPh>
    <rPh sb="2" eb="4">
      <t>ショブン</t>
    </rPh>
    <rPh sb="4" eb="6">
      <t>ショウニン</t>
    </rPh>
    <rPh sb="6" eb="8">
      <t>シンセイ</t>
    </rPh>
    <rPh sb="8" eb="9">
      <t>ヨウ</t>
    </rPh>
    <phoneticPr fontId="26"/>
  </si>
  <si>
    <r>
      <rPr>
        <b/>
        <sz val="11"/>
        <color theme="4"/>
        <rFont val="Meiryo UI"/>
        <family val="3"/>
        <charset val="128"/>
      </rPr>
      <t>※財産処分承認申請時に入力・提出するシートです。</t>
    </r>
    <r>
      <rPr>
        <sz val="11"/>
        <color theme="1"/>
        <rFont val="Meiryo UI"/>
        <family val="3"/>
        <charset val="128"/>
      </rPr>
      <t xml:space="preserve">
財産処分を行う財産情報を入力します。</t>
    </r>
    <rPh sb="1" eb="3">
      <t>ザイサン</t>
    </rPh>
    <rPh sb="3" eb="5">
      <t>ショブン</t>
    </rPh>
    <rPh sb="5" eb="7">
      <t>ショウニン</t>
    </rPh>
    <rPh sb="7" eb="9">
      <t>シンセイ</t>
    </rPh>
    <rPh sb="9" eb="10">
      <t>ジ</t>
    </rPh>
    <rPh sb="11" eb="13">
      <t>ニュウリョク</t>
    </rPh>
    <rPh sb="14" eb="16">
      <t>テイシュツ</t>
    </rPh>
    <rPh sb="25" eb="27">
      <t>ザイサン</t>
    </rPh>
    <rPh sb="27" eb="29">
      <t>ショブン</t>
    </rPh>
    <rPh sb="30" eb="31">
      <t>オコナ</t>
    </rPh>
    <rPh sb="32" eb="34">
      <t>ザイサン</t>
    </rPh>
    <rPh sb="34" eb="36">
      <t>ジョウホウ</t>
    </rPh>
    <rPh sb="37" eb="39">
      <t>ニュウリョク</t>
    </rPh>
    <phoneticPr fontId="2"/>
  </si>
  <si>
    <t>財産処分報告用</t>
    <rPh sb="0" eb="2">
      <t>ザイサン</t>
    </rPh>
    <rPh sb="2" eb="4">
      <t>ショブン</t>
    </rPh>
    <rPh sb="4" eb="6">
      <t>ホウコク</t>
    </rPh>
    <rPh sb="6" eb="7">
      <t>ヨウ</t>
    </rPh>
    <phoneticPr fontId="26"/>
  </si>
  <si>
    <r>
      <rPr>
        <b/>
        <sz val="11"/>
        <color theme="4"/>
        <rFont val="Meiryo UI"/>
        <family val="3"/>
        <charset val="128"/>
      </rPr>
      <t xml:space="preserve">※財産処分報告時に入力・提出するシートです。
</t>
    </r>
    <r>
      <rPr>
        <sz val="11"/>
        <color theme="1"/>
        <rFont val="Meiryo UI"/>
        <family val="3"/>
        <charset val="128"/>
      </rPr>
      <t>財産処分を行った財産情報を入力します。</t>
    </r>
    <rPh sb="5" eb="7">
      <t>ホウコク</t>
    </rPh>
    <rPh sb="23" eb="25">
      <t>ザイサン</t>
    </rPh>
    <rPh sb="25" eb="27">
      <t>ショブン</t>
    </rPh>
    <rPh sb="28" eb="29">
      <t>オコナ</t>
    </rPh>
    <rPh sb="31" eb="33">
      <t>ザイサン</t>
    </rPh>
    <rPh sb="33" eb="35">
      <t>ジョウホウ</t>
    </rPh>
    <rPh sb="36" eb="38">
      <t>ニュウリョク</t>
    </rPh>
    <phoneticPr fontId="2"/>
  </si>
  <si>
    <t>財産処分報告(災害)用</t>
    <rPh sb="0" eb="2">
      <t>ザイサン</t>
    </rPh>
    <rPh sb="2" eb="4">
      <t>ショブン</t>
    </rPh>
    <rPh sb="4" eb="6">
      <t>ホウコク</t>
    </rPh>
    <rPh sb="7" eb="9">
      <t>サイガイ</t>
    </rPh>
    <rPh sb="10" eb="11">
      <t>ヨウ</t>
    </rPh>
    <phoneticPr fontId="26"/>
  </si>
  <si>
    <r>
      <rPr>
        <b/>
        <sz val="11"/>
        <color theme="4"/>
        <rFont val="Meiryo UI"/>
        <family val="3"/>
        <charset val="128"/>
      </rPr>
      <t xml:space="preserve">※災害等による財産処分報告時に入力・提出するシートです。
</t>
    </r>
    <r>
      <rPr>
        <sz val="11"/>
        <color theme="1"/>
        <rFont val="Meiryo UI"/>
        <family val="3"/>
        <charset val="128"/>
      </rPr>
      <t>財産処分を行った財産情報を入力します。</t>
    </r>
    <rPh sb="1" eb="4">
      <t>サイガイトウ</t>
    </rPh>
    <rPh sb="11" eb="13">
      <t>ホウコク</t>
    </rPh>
    <rPh sb="29" eb="31">
      <t>ザイサン</t>
    </rPh>
    <rPh sb="31" eb="33">
      <t>ショブン</t>
    </rPh>
    <rPh sb="34" eb="35">
      <t>オコナ</t>
    </rPh>
    <rPh sb="37" eb="39">
      <t>ザイサン</t>
    </rPh>
    <rPh sb="39" eb="41">
      <t>ジョウホウ</t>
    </rPh>
    <rPh sb="42" eb="44">
      <t>ニュウリョク</t>
    </rPh>
    <phoneticPr fontId="2"/>
  </si>
  <si>
    <t>3. 本ファイルの利用方法</t>
    <rPh sb="3" eb="4">
      <t>ホン</t>
    </rPh>
    <rPh sb="9" eb="11">
      <t>リヨウ</t>
    </rPh>
    <rPh sb="11" eb="13">
      <t>ホウホウ</t>
    </rPh>
    <phoneticPr fontId="2"/>
  </si>
  <si>
    <t>凡例</t>
    <rPh sb="0" eb="2">
      <t>ハンレイ</t>
    </rPh>
    <phoneticPr fontId="2"/>
  </si>
  <si>
    <r>
      <rPr>
        <sz val="11"/>
        <rFont val="Meiryo UI"/>
        <family val="3"/>
        <charset val="128"/>
        <scheme val="minor"/>
      </rPr>
      <t>：</t>
    </r>
    <r>
      <rPr>
        <b/>
        <sz val="11"/>
        <color theme="4"/>
        <rFont val="Meiryo UI"/>
        <family val="3"/>
        <charset val="128"/>
        <scheme val="minor"/>
      </rPr>
      <t>要入力</t>
    </r>
    <r>
      <rPr>
        <sz val="11"/>
        <color theme="4"/>
        <rFont val="Meiryo UI"/>
        <family val="3"/>
        <charset val="128"/>
        <scheme val="minor"/>
      </rPr>
      <t>(黒太枠で囲われているセルに値を入力してください)</t>
    </r>
    <rPh sb="1" eb="2">
      <t>ヨウ</t>
    </rPh>
    <rPh sb="2" eb="4">
      <t>ニュウリョク</t>
    </rPh>
    <rPh sb="5" eb="6">
      <t>クロ</t>
    </rPh>
    <rPh sb="6" eb="8">
      <t>フトワク</t>
    </rPh>
    <rPh sb="9" eb="10">
      <t>カコ</t>
    </rPh>
    <rPh sb="18" eb="19">
      <t>アタイ</t>
    </rPh>
    <rPh sb="20" eb="22">
      <t>ニュウリョク</t>
    </rPh>
    <phoneticPr fontId="2"/>
  </si>
  <si>
    <t>：入力不要(入力内容に応じ、不要な項目はグレーアウトされます)</t>
    <rPh sb="1" eb="3">
      <t>ニュウリョク</t>
    </rPh>
    <rPh sb="3" eb="5">
      <t>フヨウ</t>
    </rPh>
    <rPh sb="6" eb="8">
      <t>ニュウリョク</t>
    </rPh>
    <rPh sb="8" eb="10">
      <t>ナイヨウ</t>
    </rPh>
    <rPh sb="11" eb="12">
      <t>オウ</t>
    </rPh>
    <rPh sb="14" eb="16">
      <t>フヨウ</t>
    </rPh>
    <rPh sb="17" eb="19">
      <t>コウモク</t>
    </rPh>
    <phoneticPr fontId="2"/>
  </si>
  <si>
    <t>XXXX</t>
    <phoneticPr fontId="2"/>
  </si>
  <si>
    <t>：入力不可(関数で自動入力されます)</t>
    <rPh sb="1" eb="3">
      <t>ニュウリョク</t>
    </rPh>
    <rPh sb="3" eb="5">
      <t>フカ</t>
    </rPh>
    <rPh sb="6" eb="8">
      <t>カンスウ</t>
    </rPh>
    <rPh sb="9" eb="11">
      <t>ジドウ</t>
    </rPh>
    <rPh sb="11" eb="13">
      <t>ニュウリョク</t>
    </rPh>
    <phoneticPr fontId="2"/>
  </si>
  <si>
    <t>①-1 【※実績報告を行う場合】 「取得財産等管理台帳」シートの入力</t>
    <rPh sb="6" eb="8">
      <t>ジッセキ</t>
    </rPh>
    <rPh sb="8" eb="10">
      <t>ホウコク</t>
    </rPh>
    <rPh sb="11" eb="12">
      <t>オコナ</t>
    </rPh>
    <rPh sb="13" eb="15">
      <t>バアイ</t>
    </rPh>
    <rPh sb="18" eb="20">
      <t>シュトク</t>
    </rPh>
    <rPh sb="20" eb="22">
      <t>ザイサン</t>
    </rPh>
    <rPh sb="22" eb="23">
      <t>トウ</t>
    </rPh>
    <rPh sb="23" eb="25">
      <t>カンリ</t>
    </rPh>
    <rPh sb="25" eb="27">
      <t>ダイチョウ</t>
    </rPh>
    <rPh sb="32" eb="34">
      <t>ニュウリョク</t>
    </rPh>
    <phoneticPr fontId="2"/>
  </si>
  <si>
    <t>❶</t>
    <phoneticPr fontId="2"/>
  </si>
  <si>
    <t>シート下部の注釈の内容を確認してください。</t>
    <rPh sb="3" eb="5">
      <t>カブ</t>
    </rPh>
    <rPh sb="6" eb="8">
      <t>チュウシャク</t>
    </rPh>
    <rPh sb="9" eb="11">
      <t>ナイヨウ</t>
    </rPh>
    <rPh sb="12" eb="14">
      <t>カクニン</t>
    </rPh>
    <phoneticPr fontId="2"/>
  </si>
  <si>
    <t>➋</t>
    <phoneticPr fontId="2"/>
  </si>
  <si>
    <r>
      <rPr>
        <b/>
        <sz val="11"/>
        <color theme="4"/>
        <rFont val="Meiryo UI"/>
        <family val="3"/>
        <charset val="128"/>
        <scheme val="minor"/>
      </rPr>
      <t>❶</t>
    </r>
    <r>
      <rPr>
        <b/>
        <sz val="11"/>
        <color theme="1"/>
        <rFont val="Meiryo UI"/>
        <family val="3"/>
        <charset val="128"/>
        <scheme val="minor"/>
      </rPr>
      <t>の注釈の内容を踏まえ、財産情報を入力してください。</t>
    </r>
    <rPh sb="2" eb="4">
      <t>チュウシャク</t>
    </rPh>
    <rPh sb="5" eb="7">
      <t>ナイヨウ</t>
    </rPh>
    <rPh sb="8" eb="9">
      <t>フ</t>
    </rPh>
    <rPh sb="12" eb="14">
      <t>ザイサン</t>
    </rPh>
    <rPh sb="14" eb="16">
      <t>ジョウホウ</t>
    </rPh>
    <rPh sb="17" eb="19">
      <t>ニュウリョク</t>
    </rPh>
    <phoneticPr fontId="2"/>
  </si>
  <si>
    <t>※</t>
    <phoneticPr fontId="2"/>
  </si>
  <si>
    <t>「数量」(E列)、「単価(円)(税抜き)」(F列)は、半角数字で入力してください。</t>
    <rPh sb="0" eb="41">
      <t>スウリョウ</t>
    </rPh>
    <phoneticPr fontId="2"/>
  </si>
  <si>
    <t>「取得年月日」(H列)は、財産を検収した年月日を「YYYY/M/D」の形式(例：「2026/2/16」)で入力してください。</t>
    <rPh sb="1" eb="6">
      <t>シュトクネンガッピ</t>
    </rPh>
    <rPh sb="9" eb="10">
      <t>レツ</t>
    </rPh>
    <rPh sb="13" eb="15">
      <t>ザイサン</t>
    </rPh>
    <rPh sb="16" eb="18">
      <t>ケンシュウ</t>
    </rPh>
    <rPh sb="20" eb="23">
      <t>ネンガッピケイシキニュウリョク</t>
    </rPh>
    <phoneticPr fontId="2"/>
  </si>
  <si>
    <t>「種類・設備の種類」(J列)は、「区分」(C列)で選択した値に応じた選択肢が表示されます。</t>
    <rPh sb="17" eb="19">
      <t>クブン</t>
    </rPh>
    <rPh sb="22" eb="23">
      <t>レツ</t>
    </rPh>
    <phoneticPr fontId="2"/>
  </si>
  <si>
    <t>「構造又は用途」(K列)は、「種類・設備の種類」(J列)で選択した値に応じた選択肢が表示されます。</t>
    <phoneticPr fontId="2"/>
  </si>
  <si>
    <t>「細目」(L列)は、「種類・設備の種類」(J列)、「構造又は用途」(K列)で選択した値に応じた選択肢が表示されます。</t>
    <rPh sb="11" eb="13">
      <t>シュルイ</t>
    </rPh>
    <rPh sb="14" eb="16">
      <t>セツビ</t>
    </rPh>
    <rPh sb="17" eb="19">
      <t>シュルイ</t>
    </rPh>
    <rPh sb="22" eb="23">
      <t>レツ</t>
    </rPh>
    <phoneticPr fontId="2"/>
  </si>
  <si>
    <t>「類型・種類」(O列)は、「区分」(C列)で選択した値に応じた選択肢が表示されます。</t>
    <phoneticPr fontId="2"/>
  </si>
  <si>
    <t>「金額(円)(税抜き)」(G列)は、「数量」(E列)と「単価(円)(税抜き)」(F列)の入力値に応じて自動計算されます。</t>
    <rPh sb="1" eb="3">
      <t>キンガク</t>
    </rPh>
    <rPh sb="4" eb="5">
      <t>エン</t>
    </rPh>
    <rPh sb="7" eb="9">
      <t>ゼイヌ</t>
    </rPh>
    <rPh sb="14" eb="15">
      <t>レツ</t>
    </rPh>
    <rPh sb="44" eb="46">
      <t>ニュウリョク</t>
    </rPh>
    <rPh sb="46" eb="47">
      <t>チ</t>
    </rPh>
    <rPh sb="48" eb="49">
      <t>オウ</t>
    </rPh>
    <rPh sb="51" eb="53">
      <t>ジドウ</t>
    </rPh>
    <rPh sb="53" eb="55">
      <t>ケイサン</t>
    </rPh>
    <phoneticPr fontId="2"/>
  </si>
  <si>
    <t>「耐用年数(処分制限期間)」(M列)は、「種類・設備の種類」(J列)、「構造又は用途」(K列)、「細目」(L列)で選択した値に応じて自動入力されます。</t>
    <rPh sb="66" eb="68">
      <t>ジドウ</t>
    </rPh>
    <rPh sb="68" eb="70">
      <t>ニュウリョク</t>
    </rPh>
    <phoneticPr fontId="2"/>
  </si>
  <si>
    <t>「備考」(N列)は、財産に関する補足などがあれば入力してください。</t>
  </si>
  <si>
    <t>❸</t>
    <phoneticPr fontId="2"/>
  </si>
  <si>
    <t>シート右上にある「提出可否」(Q3)が"OK"になっていることを確認してください。</t>
    <rPh sb="3" eb="4">
      <t>ミギ</t>
    </rPh>
    <rPh sb="4" eb="5">
      <t>ウエ</t>
    </rPh>
    <rPh sb="9" eb="11">
      <t>テイシュツ</t>
    </rPh>
    <rPh sb="11" eb="13">
      <t>カヒ</t>
    </rPh>
    <rPh sb="32" eb="34">
      <t>カクニン</t>
    </rPh>
    <phoneticPr fontId="2"/>
  </si>
  <si>
    <t>入力内容に不備がある場合は"NG"になりますので、以下を参考に入力内容を修正してください。</t>
    <phoneticPr fontId="2"/>
  </si>
  <si>
    <t>・</t>
    <phoneticPr fontId="2"/>
  </si>
  <si>
    <t>財産ごとに、必要なすべての項目に値が入力されているか(※「備考」(N列)の入力は任意)</t>
    <rPh sb="0" eb="2">
      <t>ザイサン</t>
    </rPh>
    <rPh sb="6" eb="8">
      <t>ヒツヨウ</t>
    </rPh>
    <rPh sb="13" eb="15">
      <t>コウモク</t>
    </rPh>
    <rPh sb="16" eb="17">
      <t>アタイ</t>
    </rPh>
    <rPh sb="18" eb="20">
      <t>ニュウリョク</t>
    </rPh>
    <rPh sb="29" eb="31">
      <t>ビコウ</t>
    </rPh>
    <rPh sb="34" eb="35">
      <t>レツ</t>
    </rPh>
    <rPh sb="37" eb="39">
      <t>ニュウリョク</t>
    </rPh>
    <rPh sb="40" eb="42">
      <t>ニンイ</t>
    </rPh>
    <phoneticPr fontId="2"/>
  </si>
  <si>
    <t>「数量」(E列)、「単価(円)(税抜き)」(F列)が半角数字で入力されているか</t>
    <rPh sb="26" eb="28">
      <t>ハンカク</t>
    </rPh>
    <rPh sb="28" eb="30">
      <t>スウジ</t>
    </rPh>
    <rPh sb="31" eb="33">
      <t>ニュウリョク</t>
    </rPh>
    <phoneticPr fontId="2"/>
  </si>
  <si>
    <t>「取得年月日」(H列)が「YYYY/M/D」の形式で入力されているか(例：「2026/2/16」)、交付決定日より過去の日付になっていないか</t>
    <rPh sb="50" eb="54">
      <t>コウフケッテイ</t>
    </rPh>
    <rPh sb="54" eb="55">
      <t>ヒ</t>
    </rPh>
    <rPh sb="57" eb="59">
      <t>カコ</t>
    </rPh>
    <rPh sb="60" eb="62">
      <t>ヒヅケ</t>
    </rPh>
    <phoneticPr fontId="2"/>
  </si>
  <si>
    <t>「区分」(C列)、「細目」(L列)、「種類・設備の種類」(J列)、「構造又は用途」(K列)、「類型・種類」(O列)が、正しい組み合わせになっているか</t>
    <rPh sb="1" eb="3">
      <t>クブン</t>
    </rPh>
    <rPh sb="6" eb="7">
      <t>レツ</t>
    </rPh>
    <rPh sb="47" eb="49">
      <t>ルイケイ</t>
    </rPh>
    <rPh sb="50" eb="52">
      <t>シュルイ</t>
    </rPh>
    <rPh sb="55" eb="56">
      <t>レツ</t>
    </rPh>
    <rPh sb="59" eb="60">
      <t>タダ</t>
    </rPh>
    <rPh sb="62" eb="63">
      <t>ク</t>
    </rPh>
    <rPh sb="64" eb="65">
      <t>ア</t>
    </rPh>
    <phoneticPr fontId="2"/>
  </si>
  <si>
    <t>＜入力イメージ＞</t>
    <rPh sb="1" eb="3">
      <t>ニュウリョク</t>
    </rPh>
    <phoneticPr fontId="2"/>
  </si>
  <si>
    <t>①-2 【※財産処分承認申請を行う場合】 「財産処分承認申請用」シートの入力</t>
    <rPh sb="6" eb="8">
      <t>ザイサン</t>
    </rPh>
    <rPh sb="8" eb="10">
      <t>ショブン</t>
    </rPh>
    <rPh sb="10" eb="12">
      <t>ショウニン</t>
    </rPh>
    <rPh sb="12" eb="14">
      <t>シンセイ</t>
    </rPh>
    <rPh sb="22" eb="24">
      <t>ザイサン</t>
    </rPh>
    <rPh sb="24" eb="26">
      <t>ショブン</t>
    </rPh>
    <rPh sb="26" eb="28">
      <t>ショウニン</t>
    </rPh>
    <rPh sb="28" eb="31">
      <t>シンセイヨウ</t>
    </rPh>
    <rPh sb="36" eb="38">
      <t>ニュウリョク</t>
    </rPh>
    <phoneticPr fontId="2"/>
  </si>
  <si>
    <t>「品目(財産名)」(C列)に処分を行う財産名と、「数量」(D列)に処分する数量を入力してください。</t>
    <rPh sb="1" eb="3">
      <t>ヒンモク</t>
    </rPh>
    <rPh sb="4" eb="7">
      <t>ザイサンメイ</t>
    </rPh>
    <rPh sb="11" eb="12">
      <t>レツ</t>
    </rPh>
    <rPh sb="14" eb="16">
      <t>ショブン</t>
    </rPh>
    <rPh sb="17" eb="18">
      <t>オコナ</t>
    </rPh>
    <rPh sb="19" eb="21">
      <t>ザイサン</t>
    </rPh>
    <rPh sb="21" eb="22">
      <t>メイ</t>
    </rPh>
    <rPh sb="25" eb="27">
      <t>スウリョウ</t>
    </rPh>
    <rPh sb="30" eb="31">
      <t>レツ</t>
    </rPh>
    <rPh sb="33" eb="35">
      <t>ショブン</t>
    </rPh>
    <rPh sb="37" eb="39">
      <t>スウリョウ</t>
    </rPh>
    <rPh sb="40" eb="42">
      <t>ニュウリョク</t>
    </rPh>
    <phoneticPr fontId="2"/>
  </si>
  <si>
    <t>「品目(財産名)」(C列)は、必ず「取得財産等管理台帳」シートの「財産名」(D列)と一致するようご注意ください。(当該シートからのコピー&amp;ペーストを推奨)</t>
    <rPh sb="1" eb="3">
      <t>ヒンモク</t>
    </rPh>
    <rPh sb="4" eb="7">
      <t>ザイサンメイ</t>
    </rPh>
    <rPh sb="11" eb="12">
      <t>レツ</t>
    </rPh>
    <rPh sb="15" eb="16">
      <t>カナラ</t>
    </rPh>
    <rPh sb="18" eb="23">
      <t>シュトクザイサントウ</t>
    </rPh>
    <rPh sb="23" eb="27">
      <t>カンリダイチョウ</t>
    </rPh>
    <rPh sb="33" eb="36">
      <t>ザイサンメイ</t>
    </rPh>
    <rPh sb="39" eb="40">
      <t>レツ</t>
    </rPh>
    <rPh sb="42" eb="44">
      <t>イッチ</t>
    </rPh>
    <rPh sb="49" eb="51">
      <t>チュウイ</t>
    </rPh>
    <rPh sb="57" eb="59">
      <t>トウガイ</t>
    </rPh>
    <rPh sb="74" eb="76">
      <t>スイショウ</t>
    </rPh>
    <phoneticPr fontId="2"/>
  </si>
  <si>
    <t>「数量」(D列)は、取得している財産のうち、処分する数量を半角数字で入力してください。</t>
    <rPh sb="1" eb="3">
      <t>スウリョウ</t>
    </rPh>
    <rPh sb="6" eb="7">
      <t>レツ</t>
    </rPh>
    <rPh sb="10" eb="12">
      <t>シュトク</t>
    </rPh>
    <rPh sb="16" eb="18">
      <t>ザイサン</t>
    </rPh>
    <rPh sb="22" eb="24">
      <t>ショブン</t>
    </rPh>
    <rPh sb="26" eb="28">
      <t>スウリョウ</t>
    </rPh>
    <rPh sb="29" eb="33">
      <t>ハンカクスウジ</t>
    </rPh>
    <rPh sb="34" eb="36">
      <t>ニュウリョク</t>
    </rPh>
    <phoneticPr fontId="2"/>
  </si>
  <si>
    <t>「品目(財産名)」(C列)の入力値に応じて、「取得年月日」(E列)に対応する「取得財産等管理台帳」シートの値が自動入力されます。</t>
    <rPh sb="14" eb="17">
      <t>ニュウリョクチ</t>
    </rPh>
    <rPh sb="18" eb="19">
      <t>オウ</t>
    </rPh>
    <rPh sb="23" eb="28">
      <t>シュトクネンガッピ</t>
    </rPh>
    <rPh sb="31" eb="32">
      <t>レツ</t>
    </rPh>
    <rPh sb="34" eb="36">
      <t>タイオウ</t>
    </rPh>
    <rPh sb="39" eb="48">
      <t>シュトクザイサントウカンリダイチョウ</t>
    </rPh>
    <rPh sb="53" eb="54">
      <t>アタイ</t>
    </rPh>
    <phoneticPr fontId="2"/>
  </si>
  <si>
    <t>「品目(財産名)」(C列)、「数量」(D列)の入力値に応じて、「取得価格(円)(税抜き)」(I列)の値が自動計算されます。</t>
    <rPh sb="15" eb="17">
      <t>スウリョウ</t>
    </rPh>
    <rPh sb="20" eb="21">
      <t>レツ</t>
    </rPh>
    <rPh sb="50" eb="51">
      <t>アタイ</t>
    </rPh>
    <rPh sb="52" eb="56">
      <t>ジドウケイサン</t>
    </rPh>
    <phoneticPr fontId="2"/>
  </si>
  <si>
    <t>処分する財産ごとに、「処分の分類」(F列)をプルダウンから選択してください。</t>
    <rPh sb="0" eb="2">
      <t>ショブン</t>
    </rPh>
    <rPh sb="4" eb="6">
      <t>ザイサン</t>
    </rPh>
    <rPh sb="11" eb="13">
      <t>ショブン</t>
    </rPh>
    <rPh sb="14" eb="16">
      <t>ブンルイ</t>
    </rPh>
    <rPh sb="19" eb="20">
      <t>レツ</t>
    </rPh>
    <rPh sb="29" eb="31">
      <t>センタク</t>
    </rPh>
    <phoneticPr fontId="2"/>
  </si>
  <si>
    <t>❹</t>
    <phoneticPr fontId="2"/>
  </si>
  <si>
    <t>「処分の分類」(F列)が「譲渡(有償)」または「貸付(有償)」の場合は、「見積取得先数」(G列)と「(1) 見積額(円)(税抜き)」(H列)を入力してください。</t>
    <rPh sb="1" eb="3">
      <t>ショブン</t>
    </rPh>
    <rPh sb="4" eb="6">
      <t>ブンルイ</t>
    </rPh>
    <rPh sb="9" eb="10">
      <t>レツ</t>
    </rPh>
    <rPh sb="13" eb="15">
      <t>ジョウト</t>
    </rPh>
    <rPh sb="16" eb="18">
      <t>ユウショウ</t>
    </rPh>
    <rPh sb="24" eb="26">
      <t>カシツケ</t>
    </rPh>
    <rPh sb="27" eb="29">
      <t>ユウショウ</t>
    </rPh>
    <rPh sb="32" eb="34">
      <t>バアイ</t>
    </rPh>
    <rPh sb="37" eb="41">
      <t>ミツモリシュトク</t>
    </rPh>
    <rPh sb="41" eb="43">
      <t>サキスウ</t>
    </rPh>
    <rPh sb="46" eb="47">
      <t>レツ</t>
    </rPh>
    <rPh sb="54" eb="57">
      <t>ミツモリガク</t>
    </rPh>
    <rPh sb="58" eb="59">
      <t>エン</t>
    </rPh>
    <rPh sb="61" eb="63">
      <t>ゼイヌ</t>
    </rPh>
    <rPh sb="68" eb="69">
      <t>レツ</t>
    </rPh>
    <rPh sb="71" eb="73">
      <t>ニュウリョク</t>
    </rPh>
    <phoneticPr fontId="2"/>
  </si>
  <si>
    <t>「見積取得先数」(G列)は、プルダウンから選択してください。</t>
    <rPh sb="1" eb="3">
      <t>ミツモリ</t>
    </rPh>
    <rPh sb="3" eb="5">
      <t>シュトク</t>
    </rPh>
    <rPh sb="5" eb="6">
      <t>サキ</t>
    </rPh>
    <rPh sb="6" eb="7">
      <t>スウ</t>
    </rPh>
    <rPh sb="10" eb="11">
      <t>レツ</t>
    </rPh>
    <rPh sb="21" eb="23">
      <t>センタク</t>
    </rPh>
    <phoneticPr fontId="2"/>
  </si>
  <si>
    <t>「(1) 見積額(円)(税抜き)」(H列)は、取得した見積のうち最も高い見積額を半角数字で入力してください。</t>
    <rPh sb="23" eb="25">
      <t>シュトク</t>
    </rPh>
    <rPh sb="27" eb="29">
      <t>ミツモリ</t>
    </rPh>
    <rPh sb="32" eb="33">
      <t>モット</t>
    </rPh>
    <rPh sb="34" eb="35">
      <t>タカ</t>
    </rPh>
    <rPh sb="36" eb="39">
      <t>ミツモリガク</t>
    </rPh>
    <rPh sb="40" eb="44">
      <t>ハンカクスウジ</t>
    </rPh>
    <rPh sb="45" eb="47">
      <t>ニュウリョク</t>
    </rPh>
    <phoneticPr fontId="2"/>
  </si>
  <si>
    <t>❺</t>
    <phoneticPr fontId="2"/>
  </si>
  <si>
    <t>シート右上にある「提出可否」(K3)が"OK"になっていることを確認してください。</t>
    <rPh sb="3" eb="4">
      <t>ミギ</t>
    </rPh>
    <rPh sb="4" eb="5">
      <t>ウエ</t>
    </rPh>
    <rPh sb="9" eb="11">
      <t>テイシュツ</t>
    </rPh>
    <rPh sb="11" eb="13">
      <t>カヒ</t>
    </rPh>
    <rPh sb="32" eb="34">
      <t>カクニン</t>
    </rPh>
    <phoneticPr fontId="2"/>
  </si>
  <si>
    <t>財産ごとに、必要なすべての項目に値が入力されているか</t>
    <rPh sb="0" eb="2">
      <t>ザイサン</t>
    </rPh>
    <rPh sb="6" eb="8">
      <t>ヒツヨウ</t>
    </rPh>
    <rPh sb="13" eb="15">
      <t>コウモク</t>
    </rPh>
    <rPh sb="16" eb="17">
      <t>アタイ</t>
    </rPh>
    <rPh sb="18" eb="20">
      <t>ニュウリョク</t>
    </rPh>
    <phoneticPr fontId="2"/>
  </si>
  <si>
    <t>「品目(財産名)」(C列)が、「取得財産管理台帳」シートの「財産名」(D列)と一致しているか</t>
    <rPh sb="16" eb="24">
      <t>シュトクザイサンカンリダイチョウ</t>
    </rPh>
    <rPh sb="30" eb="33">
      <t>ザイサンメイ</t>
    </rPh>
    <rPh sb="36" eb="37">
      <t>レツ</t>
    </rPh>
    <rPh sb="39" eb="41">
      <t>イッチ</t>
    </rPh>
    <phoneticPr fontId="2"/>
  </si>
  <si>
    <t>「数量」(D列)、「(1) 見積額(円)(税抜き)」(H列)が半角数字で入力されているか</t>
    <rPh sb="1" eb="3">
      <t>スウリョウ</t>
    </rPh>
    <rPh sb="6" eb="7">
      <t>レツ</t>
    </rPh>
    <rPh sb="31" eb="33">
      <t>ハンカク</t>
    </rPh>
    <rPh sb="33" eb="35">
      <t>スウジ</t>
    </rPh>
    <rPh sb="36" eb="38">
      <t>ニュウリョク</t>
    </rPh>
    <phoneticPr fontId="2"/>
  </si>
  <si>
    <t>処分する「数量」(D列)が、所有している数量よりも多くなっていないか</t>
    <rPh sb="0" eb="2">
      <t>ショブン</t>
    </rPh>
    <rPh sb="5" eb="7">
      <t>スウリョウ</t>
    </rPh>
    <rPh sb="10" eb="11">
      <t>レツ</t>
    </rPh>
    <rPh sb="14" eb="16">
      <t>ショユウ</t>
    </rPh>
    <rPh sb="20" eb="22">
      <t>スウリョウ</t>
    </rPh>
    <rPh sb="25" eb="26">
      <t>オオ</t>
    </rPh>
    <phoneticPr fontId="2"/>
  </si>
  <si>
    <t>①-3 【※財産処分報告を行う場合】 「財産処分報告用」シートの入力</t>
    <rPh sb="6" eb="8">
      <t>ザイサン</t>
    </rPh>
    <rPh sb="8" eb="10">
      <t>ショブン</t>
    </rPh>
    <rPh sb="10" eb="12">
      <t>ホウコク</t>
    </rPh>
    <rPh sb="20" eb="22">
      <t>ザイサン</t>
    </rPh>
    <rPh sb="22" eb="24">
      <t>ショブン</t>
    </rPh>
    <rPh sb="24" eb="26">
      <t>ホウコク</t>
    </rPh>
    <rPh sb="26" eb="27">
      <t>ヨウ</t>
    </rPh>
    <rPh sb="32" eb="34">
      <t>ニュウリョク</t>
    </rPh>
    <phoneticPr fontId="2"/>
  </si>
  <si>
    <t>「品目(財産名)」(C列)に処分した財産名を入力してください。</t>
    <rPh sb="1" eb="3">
      <t>ヒンモク</t>
    </rPh>
    <rPh sb="4" eb="7">
      <t>ザイサンメイ</t>
    </rPh>
    <rPh sb="11" eb="12">
      <t>レツ</t>
    </rPh>
    <rPh sb="14" eb="16">
      <t>ショブン</t>
    </rPh>
    <rPh sb="18" eb="20">
      <t>ザイサン</t>
    </rPh>
    <rPh sb="20" eb="21">
      <t>メイ</t>
    </rPh>
    <rPh sb="22" eb="24">
      <t>ニュウリョク</t>
    </rPh>
    <phoneticPr fontId="2"/>
  </si>
  <si>
    <t>必ず「取得財産等管理台帳」シートの「財産名」(D列)と一致するようご注意ください。(当該シートからのコピー&amp;ペーストを推奨)</t>
    <rPh sb="0" eb="1">
      <t>カナラ</t>
    </rPh>
    <rPh sb="3" eb="8">
      <t>シュトクザイサントウ</t>
    </rPh>
    <rPh sb="8" eb="12">
      <t>カンリダイチョウ</t>
    </rPh>
    <rPh sb="18" eb="21">
      <t>ザイサンメイ</t>
    </rPh>
    <rPh sb="24" eb="25">
      <t>レツ</t>
    </rPh>
    <rPh sb="27" eb="29">
      <t>イッチ</t>
    </rPh>
    <rPh sb="34" eb="36">
      <t>チュウイ</t>
    </rPh>
    <rPh sb="42" eb="44">
      <t>トウガイ</t>
    </rPh>
    <rPh sb="59" eb="61">
      <t>スイショウ</t>
    </rPh>
    <phoneticPr fontId="2"/>
  </si>
  <si>
    <t>「品目(財産名)」(C列)の入力値に応じて、「数量」(D列)、「耐用年数」(E列)、「処分の分類」(F列)、「見積取得先数」(H列)、</t>
    <rPh sb="14" eb="17">
      <t>ニュウリョクチ</t>
    </rPh>
    <rPh sb="18" eb="19">
      <t>オウ</t>
    </rPh>
    <rPh sb="23" eb="25">
      <t>スウリョウ</t>
    </rPh>
    <rPh sb="28" eb="29">
      <t>レツ</t>
    </rPh>
    <rPh sb="32" eb="36">
      <t>タイヨウネンスウ</t>
    </rPh>
    <rPh sb="39" eb="40">
      <t>レツ</t>
    </rPh>
    <rPh sb="43" eb="45">
      <t>ショブン</t>
    </rPh>
    <rPh sb="46" eb="48">
      <t>ブンルイ</t>
    </rPh>
    <rPh sb="51" eb="52">
      <t>レツ</t>
    </rPh>
    <rPh sb="55" eb="61">
      <t>ミツモリシュトクサキスウ</t>
    </rPh>
    <rPh sb="64" eb="65">
      <t>レツ</t>
    </rPh>
    <phoneticPr fontId="2"/>
  </si>
  <si>
    <t>「(1) 見積額(円)(税抜き)」(I列)、「(2) 取得価格(円)(税抜き)」(J列)、「取得年月日」(K列)に、</t>
    <phoneticPr fontId="2"/>
  </si>
  <si>
    <t>対応する「取得財産等管理台帳」シート、「財産処分承認申請用」シートの値が自動入力されます。</t>
    <phoneticPr fontId="2"/>
  </si>
  <si>
    <t>処分する財産ごとに、必要な情報を入力してください。</t>
    <rPh sb="0" eb="2">
      <t>ショブン</t>
    </rPh>
    <rPh sb="4" eb="6">
      <t>ザイサン</t>
    </rPh>
    <rPh sb="10" eb="12">
      <t>ヒツヨウ</t>
    </rPh>
    <rPh sb="13" eb="15">
      <t>ジョウホウ</t>
    </rPh>
    <rPh sb="16" eb="18">
      <t>ニュウリョク</t>
    </rPh>
    <phoneticPr fontId="2"/>
  </si>
  <si>
    <t>「処分価格(円)(税抜き)」(G列)、「B. 当該処分財産に係った補助対象経費(円)(税抜き)」(O列)、</t>
    <rPh sb="16" eb="17">
      <t>レツ</t>
    </rPh>
    <rPh sb="50" eb="51">
      <t>レツ</t>
    </rPh>
    <phoneticPr fontId="2"/>
  </si>
  <si>
    <t>「C. Bに対する当該補助金の確定額(円)(税抜き)」(P列)は、半角数字で入力してください。</t>
    <phoneticPr fontId="2"/>
  </si>
  <si>
    <t>「処分日」(L列)は、「YYYY/M/D」の形式(例：「2026/2/16」)で入力してください。</t>
    <rPh sb="1" eb="4">
      <t>ショブンビ</t>
    </rPh>
    <rPh sb="7" eb="8">
      <t>レツ</t>
    </rPh>
    <phoneticPr fontId="2"/>
  </si>
  <si>
    <t>「計算方法」(M列)は、下記を参考にブルダウンから選択してください。</t>
    <rPh sb="1" eb="5">
      <t>ケイサンホウホウ</t>
    </rPh>
    <rPh sb="8" eb="9">
      <t>レツ</t>
    </rPh>
    <rPh sb="12" eb="14">
      <t>カキ</t>
    </rPh>
    <rPh sb="15" eb="17">
      <t>サンコウ</t>
    </rPh>
    <rPh sb="25" eb="27">
      <t>センタク</t>
    </rPh>
    <phoneticPr fontId="2"/>
  </si>
  <si>
    <t>機械装置等の減価償却方法は原則「定率法」とする</t>
    <rPh sb="0" eb="4">
      <t>キカイソウチ</t>
    </rPh>
    <rPh sb="13" eb="15">
      <t>ゲンソク</t>
    </rPh>
    <phoneticPr fontId="2"/>
  </si>
  <si>
    <t>建物の減価償却方法は原則「定額法」とする</t>
    <rPh sb="10" eb="12">
      <t>ゲンソク</t>
    </rPh>
    <phoneticPr fontId="2"/>
  </si>
  <si>
    <t>個人事業主の場合は「定額法」が一般的だが、「定率法」でも可</t>
    <rPh sb="22" eb="25">
      <t>テイリツホウ</t>
    </rPh>
    <rPh sb="28" eb="29">
      <t>カ</t>
    </rPh>
    <phoneticPr fontId="2"/>
  </si>
  <si>
    <t>法人税法施行令第 48 条の２に基づき、機械装置等について「定額法」で計算している法人は、「定額法」でも可</t>
    <rPh sb="24" eb="25">
      <t>トウ</t>
    </rPh>
    <rPh sb="46" eb="49">
      <t>テイガクホウ</t>
    </rPh>
    <rPh sb="52" eb="53">
      <t>カ</t>
    </rPh>
    <phoneticPr fontId="2"/>
  </si>
  <si>
    <t>「決算月」(K3)と、決算日が月末ではない場合は「決算日」(L3)と、残存簿価の計算における「端数処理」(M3)を入力してください。</t>
    <rPh sb="1" eb="4">
      <t>ケッサンヅキ</t>
    </rPh>
    <rPh sb="11" eb="14">
      <t>ケッサンビ</t>
    </rPh>
    <rPh sb="15" eb="17">
      <t>ゲツマツ</t>
    </rPh>
    <rPh sb="21" eb="23">
      <t>バアイ</t>
    </rPh>
    <rPh sb="25" eb="28">
      <t>ケッサンビ</t>
    </rPh>
    <rPh sb="35" eb="39">
      <t>ザンゾンボカ</t>
    </rPh>
    <rPh sb="40" eb="42">
      <t>ケイサン</t>
    </rPh>
    <rPh sb="47" eb="51">
      <t>ハスウショリ</t>
    </rPh>
    <rPh sb="57" eb="59">
      <t>ニュウリョク</t>
    </rPh>
    <phoneticPr fontId="2"/>
  </si>
  <si>
    <t>「決算月」(K3)は、プルダウンから選択してください。</t>
    <rPh sb="1" eb="4">
      <t>ケッサンヅキ</t>
    </rPh>
    <rPh sb="18" eb="20">
      <t>センタク</t>
    </rPh>
    <phoneticPr fontId="2"/>
  </si>
  <si>
    <t>「決算日」(L3)は、月末以外の場合のみ、プルダウンから選択してください。(月末の場合は「-」を選択してください。)</t>
    <rPh sb="1" eb="4">
      <t>ケッサンビ</t>
    </rPh>
    <rPh sb="11" eb="13">
      <t>ゲツマツ</t>
    </rPh>
    <rPh sb="13" eb="15">
      <t>イガイ</t>
    </rPh>
    <rPh sb="16" eb="18">
      <t>バアイ</t>
    </rPh>
    <rPh sb="28" eb="30">
      <t>センタク</t>
    </rPh>
    <phoneticPr fontId="2"/>
  </si>
  <si>
    <t>「端数処理」(M3)は、残存簿価の計算における1円未満の取扱いについて、償却資産明細・固定資産台帳等で明確に切り上げ・切り捨て・四捨五入の</t>
    <rPh sb="1" eb="5">
      <t>ハスウショリ</t>
    </rPh>
    <rPh sb="12" eb="16">
      <t>ザンゾンボカ</t>
    </rPh>
    <rPh sb="17" eb="19">
      <t>ケイサン</t>
    </rPh>
    <rPh sb="24" eb="27">
      <t>エンミマン</t>
    </rPh>
    <rPh sb="28" eb="29">
      <t>ト</t>
    </rPh>
    <rPh sb="29" eb="30">
      <t>アツカ</t>
    </rPh>
    <rPh sb="36" eb="38">
      <t>ショウキャク</t>
    </rPh>
    <phoneticPr fontId="2"/>
  </si>
  <si>
    <t>方針がある場合は、該当の会計方針をプルダウンから選択してください。(方針不明の場合は「切り上げ」とします。)</t>
    <rPh sb="34" eb="38">
      <t>ホウシンフメイ</t>
    </rPh>
    <rPh sb="39" eb="41">
      <t>バアイ</t>
    </rPh>
    <rPh sb="43" eb="44">
      <t>キ</t>
    </rPh>
    <rPh sb="45" eb="46">
      <t>ア</t>
    </rPh>
    <phoneticPr fontId="2"/>
  </si>
  <si>
    <t>シート右上にある「提出可否」(S3)が"OK"になっていることを確認してください。</t>
    <rPh sb="3" eb="4">
      <t>ミギ</t>
    </rPh>
    <rPh sb="4" eb="5">
      <t>ウエ</t>
    </rPh>
    <rPh sb="9" eb="11">
      <t>テイシュツ</t>
    </rPh>
    <rPh sb="11" eb="13">
      <t>カヒ</t>
    </rPh>
    <rPh sb="32" eb="34">
      <t>カクニン</t>
    </rPh>
    <phoneticPr fontId="2"/>
  </si>
  <si>
    <t>「処分価格(円)(税抜き)」(G列)、「B. 当該処分財産に係った補助対象経費(円)(税抜き)」(O列)、</t>
    <phoneticPr fontId="2"/>
  </si>
  <si>
    <t>「C. Bに対する当該補助金の確定額(円)(税抜き)」(P列)が半角数字で入力されているか</t>
    <phoneticPr fontId="2"/>
  </si>
  <si>
    <t>「処分日」(L列)が「YYYY/M/D」の形式で入力されているか(例：「2026/2/16」)、「取得年月日」(K列)より過去の日付になっていないか</t>
    <rPh sb="1" eb="3">
      <t>ショブン</t>
    </rPh>
    <rPh sb="61" eb="63">
      <t>カコ</t>
    </rPh>
    <phoneticPr fontId="2"/>
  </si>
  <si>
    <t>①-4 【※災害等による財産処分報告を行う場合】 「財産処分報告(災害)用」シートの入力</t>
    <rPh sb="6" eb="9">
      <t>サイガイトウ</t>
    </rPh>
    <rPh sb="12" eb="14">
      <t>ザイサン</t>
    </rPh>
    <rPh sb="14" eb="16">
      <t>ショブン</t>
    </rPh>
    <rPh sb="16" eb="18">
      <t>ホウコク</t>
    </rPh>
    <rPh sb="26" eb="28">
      <t>ザイサン</t>
    </rPh>
    <rPh sb="28" eb="30">
      <t>ショブン</t>
    </rPh>
    <rPh sb="30" eb="32">
      <t>ホウコク</t>
    </rPh>
    <rPh sb="33" eb="35">
      <t>サイガイ</t>
    </rPh>
    <rPh sb="36" eb="37">
      <t>ヨウ</t>
    </rPh>
    <rPh sb="42" eb="44">
      <t>ニュウリョク</t>
    </rPh>
    <phoneticPr fontId="2"/>
  </si>
  <si>
    <t>「品目(財産名)」(C列)に処分した財産名と、「数量」(D列)に処分する数量を入力してください。</t>
    <rPh sb="1" eb="3">
      <t>ヒンモク</t>
    </rPh>
    <rPh sb="4" eb="7">
      <t>ザイサンメイ</t>
    </rPh>
    <rPh sb="11" eb="12">
      <t>レツ</t>
    </rPh>
    <rPh sb="14" eb="16">
      <t>ショブン</t>
    </rPh>
    <rPh sb="18" eb="20">
      <t>ザイサン</t>
    </rPh>
    <rPh sb="20" eb="21">
      <t>メイ</t>
    </rPh>
    <rPh sb="39" eb="41">
      <t>ニュウリョク</t>
    </rPh>
    <phoneticPr fontId="2"/>
  </si>
  <si>
    <t>「品目(財産名)」(C列)は、必ず「取得財産等管理台帳」シートの「財産名」(D列)と一致するようご注意ください。(当該シートからのコピー&amp;ペーストを推奨)</t>
    <rPh sb="15" eb="16">
      <t>カナラ</t>
    </rPh>
    <rPh sb="18" eb="23">
      <t>シュトクザイサントウ</t>
    </rPh>
    <rPh sb="23" eb="27">
      <t>カンリダイチョウ</t>
    </rPh>
    <rPh sb="33" eb="36">
      <t>ザイサンメイ</t>
    </rPh>
    <rPh sb="39" eb="40">
      <t>レツ</t>
    </rPh>
    <rPh sb="42" eb="44">
      <t>イッチ</t>
    </rPh>
    <rPh sb="49" eb="51">
      <t>チュウイ</t>
    </rPh>
    <rPh sb="57" eb="59">
      <t>トウガイ</t>
    </rPh>
    <rPh sb="74" eb="76">
      <t>スイショウ</t>
    </rPh>
    <phoneticPr fontId="2"/>
  </si>
  <si>
    <t>「品目(財産名)」(C列)の入力値に応じて、「耐用年数」(E列)、「取得年月日」(K列)に、</t>
    <rPh sb="14" eb="17">
      <t>ニュウリョクチ</t>
    </rPh>
    <rPh sb="18" eb="19">
      <t>オウ</t>
    </rPh>
    <rPh sb="23" eb="27">
      <t>タイヨウネンスウ</t>
    </rPh>
    <rPh sb="30" eb="31">
      <t>レツ</t>
    </rPh>
    <phoneticPr fontId="2"/>
  </si>
  <si>
    <t>対応する「取得財産等管理台帳」シート、「財産処分承認申請用」シートの値が自動入力されます。</t>
    <rPh sb="20" eb="29">
      <t>ザイサンショブンショウニンシンセイヨウ</t>
    </rPh>
    <phoneticPr fontId="2"/>
  </si>
  <si>
    <t>「品目(財産名)」(C列)、「数量」(D列)の入力値に応じて、「取得価格(円)(税抜き)」(J列)の値が自動計算されます。</t>
    <rPh sb="15" eb="17">
      <t>スウリョウ</t>
    </rPh>
    <rPh sb="20" eb="21">
      <t>レツ</t>
    </rPh>
    <rPh sb="50" eb="51">
      <t>アタイ</t>
    </rPh>
    <rPh sb="52" eb="56">
      <t>ジドウケイサン</t>
    </rPh>
    <phoneticPr fontId="2"/>
  </si>
  <si>
    <t>「処分の分類」(F列)が「譲渡(有償)」または「貸付(有償)」の場合は、「見積取得先数」(H列)と「(1) 見積額(円)(税抜き)」(I列)を入力してください。</t>
    <rPh sb="1" eb="3">
      <t>ショブン</t>
    </rPh>
    <rPh sb="4" eb="6">
      <t>ブンルイ</t>
    </rPh>
    <rPh sb="9" eb="10">
      <t>レツ</t>
    </rPh>
    <rPh sb="13" eb="15">
      <t>ジョウト</t>
    </rPh>
    <rPh sb="16" eb="18">
      <t>ユウショウ</t>
    </rPh>
    <rPh sb="24" eb="26">
      <t>カシツケ</t>
    </rPh>
    <rPh sb="27" eb="29">
      <t>ユウショウ</t>
    </rPh>
    <rPh sb="32" eb="34">
      <t>バアイ</t>
    </rPh>
    <rPh sb="37" eb="41">
      <t>ミツモリシュトク</t>
    </rPh>
    <rPh sb="41" eb="43">
      <t>サキスウ</t>
    </rPh>
    <rPh sb="46" eb="47">
      <t>レツ</t>
    </rPh>
    <rPh sb="54" eb="57">
      <t>ミツモリガク</t>
    </rPh>
    <rPh sb="58" eb="59">
      <t>エン</t>
    </rPh>
    <rPh sb="61" eb="63">
      <t>ゼイヌ</t>
    </rPh>
    <rPh sb="68" eb="69">
      <t>レツ</t>
    </rPh>
    <rPh sb="71" eb="73">
      <t>ニュウリョク</t>
    </rPh>
    <phoneticPr fontId="2"/>
  </si>
  <si>
    <t>「見積取得先数」(H列)は、プルダウンから選択してください。</t>
    <rPh sb="1" eb="3">
      <t>ミツモリ</t>
    </rPh>
    <rPh sb="3" eb="5">
      <t>シュトク</t>
    </rPh>
    <rPh sb="5" eb="6">
      <t>サキ</t>
    </rPh>
    <rPh sb="6" eb="7">
      <t>スウ</t>
    </rPh>
    <rPh sb="10" eb="11">
      <t>レツ</t>
    </rPh>
    <rPh sb="21" eb="23">
      <t>センタク</t>
    </rPh>
    <phoneticPr fontId="2"/>
  </si>
  <si>
    <t>「(1) 見積額(円)(税抜き)」(I列)は、取得した見積のうち最も高い見積額を半角数字で入力してください。</t>
    <rPh sb="23" eb="25">
      <t>シュトク</t>
    </rPh>
    <rPh sb="27" eb="29">
      <t>ミツモリ</t>
    </rPh>
    <rPh sb="32" eb="33">
      <t>モット</t>
    </rPh>
    <rPh sb="34" eb="35">
      <t>タカ</t>
    </rPh>
    <rPh sb="36" eb="39">
      <t>ミツモリガク</t>
    </rPh>
    <rPh sb="40" eb="44">
      <t>ハンカクスウジ</t>
    </rPh>
    <rPh sb="45" eb="47">
      <t>ニュウリョク</t>
    </rPh>
    <phoneticPr fontId="2"/>
  </si>
  <si>
    <t>「計算方法」(M列)は、下記を参考にブルダウンから選択してください。</t>
    <rPh sb="1" eb="5">
      <t>ケイサンホウホウ</t>
    </rPh>
    <rPh sb="11" eb="13">
      <t>カキ</t>
    </rPh>
    <rPh sb="14" eb="16">
      <t>サンコウ</t>
    </rPh>
    <rPh sb="24" eb="26">
      <t>センタク</t>
    </rPh>
    <phoneticPr fontId="2"/>
  </si>
  <si>
    <t>「決算月」(K3)と、決算日が月末ではない場合は「決算日」(L3)と、残存簿価の計算における「端数処理」(M3)を入力してください。</t>
    <rPh sb="1" eb="4">
      <t>ケッサンヅキ</t>
    </rPh>
    <rPh sb="11" eb="14">
      <t>ケッサンビ</t>
    </rPh>
    <rPh sb="15" eb="17">
      <t>ゲツマツ</t>
    </rPh>
    <rPh sb="21" eb="23">
      <t>バアイ</t>
    </rPh>
    <rPh sb="25" eb="28">
      <t>ケッサンビ</t>
    </rPh>
    <rPh sb="34" eb="38">
      <t>ザンゾンボカ</t>
    </rPh>
    <rPh sb="39" eb="41">
      <t>ケイサン</t>
    </rPh>
    <rPh sb="46" eb="50">
      <t>ハスウショリ</t>
    </rPh>
    <rPh sb="56" eb="58">
      <t>ニュウリョク</t>
    </rPh>
    <phoneticPr fontId="2"/>
  </si>
  <si>
    <t>「決算日」(L3)は、月末以外の場合のみ、プルダウンから選択してください。(月末の場合は「-」を選択してください。)</t>
    <rPh sb="1" eb="4">
      <t>ケッサンビ</t>
    </rPh>
    <rPh sb="11" eb="13">
      <t>ゲツマツ</t>
    </rPh>
    <rPh sb="13" eb="15">
      <t>イガイ</t>
    </rPh>
    <rPh sb="16" eb="18">
      <t>バアイ</t>
    </rPh>
    <rPh sb="28" eb="30">
      <t>センタク</t>
    </rPh>
    <rPh sb="38" eb="40">
      <t>ゲツマツ</t>
    </rPh>
    <rPh sb="41" eb="43">
      <t>バアイ</t>
    </rPh>
    <rPh sb="48" eb="50">
      <t>センタク</t>
    </rPh>
    <phoneticPr fontId="2"/>
  </si>
  <si>
    <t>❻</t>
    <phoneticPr fontId="2"/>
  </si>
  <si>
    <t>「数量」(D列)、「処分価格(円)(税抜き)」(G列)、「(1) 見積額(円)(税抜き)」(I列)、「B. 当該処分財産に係った補助対象経費(円)(税抜き)」(O列)、</t>
    <rPh sb="1" eb="3">
      <t>スウリョウ</t>
    </rPh>
    <rPh sb="6" eb="7">
      <t>レツ</t>
    </rPh>
    <phoneticPr fontId="2"/>
  </si>
  <si>
    <t>「処分日」(L列)が「YYYY/M/D」の形式で入力されているか(例：「2026/2/16」)、「取得年月日」(K列)より過去の日付になっていないか</t>
    <rPh sb="1" eb="3">
      <t>ショブン</t>
    </rPh>
    <rPh sb="49" eb="54">
      <t>シュトクネンガッピ</t>
    </rPh>
    <rPh sb="57" eb="58">
      <t>レツ</t>
    </rPh>
    <rPh sb="61" eb="63">
      <t>カコ</t>
    </rPh>
    <phoneticPr fontId="2"/>
  </si>
  <si>
    <t>② 電子申請システムへの添付</t>
    <phoneticPr fontId="2"/>
  </si>
  <si>
    <t>本ファイルを、電子申請システムの申請画面の対応する項目に添付し、申請を提出してください。</t>
    <rPh sb="6" eb="8">
      <t>デンシ</t>
    </rPh>
    <rPh sb="8" eb="10">
      <t>シンセイ</t>
    </rPh>
    <rPh sb="16" eb="18">
      <t>シンセイ</t>
    </rPh>
    <rPh sb="17" eb="19">
      <t>ガメン</t>
    </rPh>
    <rPh sb="21" eb="23">
      <t>タイオウ</t>
    </rPh>
    <rPh sb="24" eb="26">
      <t>コウモク</t>
    </rPh>
    <rPh sb="28" eb="30">
      <t>テンプ</t>
    </rPh>
    <rPh sb="32" eb="34">
      <t>シンセイ</t>
    </rPh>
    <rPh sb="35" eb="37">
      <t>テイシュツ</t>
    </rPh>
    <phoneticPr fontId="2"/>
  </si>
  <si>
    <t>ver.</t>
    <phoneticPr fontId="2"/>
  </si>
  <si>
    <t>1.0</t>
    <phoneticPr fontId="2"/>
  </si>
  <si>
    <t>No</t>
    <phoneticPr fontId="2"/>
  </si>
  <si>
    <t>区分</t>
    <rPh sb="0" eb="2">
      <t>クブン</t>
    </rPh>
    <phoneticPr fontId="2"/>
  </si>
  <si>
    <t>財産名</t>
    <rPh sb="0" eb="2">
      <t>ザイサン</t>
    </rPh>
    <rPh sb="2" eb="3">
      <t>メイ</t>
    </rPh>
    <phoneticPr fontId="2"/>
  </si>
  <si>
    <r>
      <t>数量</t>
    </r>
    <r>
      <rPr>
        <b/>
        <vertAlign val="superscript"/>
        <sz val="16"/>
        <color theme="0"/>
        <rFont val="Meiryo UI"/>
        <family val="3"/>
        <charset val="128"/>
      </rPr>
      <t>※2</t>
    </r>
    <rPh sb="0" eb="2">
      <t>スウリョウ</t>
    </rPh>
    <phoneticPr fontId="2"/>
  </si>
  <si>
    <t>単価(円)(税抜き)</t>
    <rPh sb="0" eb="2">
      <t>タンカ</t>
    </rPh>
    <rPh sb="3" eb="4">
      <t>エン</t>
    </rPh>
    <rPh sb="6" eb="8">
      <t>ゼイヌキ</t>
    </rPh>
    <phoneticPr fontId="2"/>
  </si>
  <si>
    <t>金額(円)(税抜き)</t>
    <rPh sb="0" eb="2">
      <t>キンガク</t>
    </rPh>
    <rPh sb="3" eb="4">
      <t>エン</t>
    </rPh>
    <rPh sb="6" eb="8">
      <t>ゼイヌキ</t>
    </rPh>
    <phoneticPr fontId="2"/>
  </si>
  <si>
    <r>
      <t>取得年月日</t>
    </r>
    <r>
      <rPr>
        <b/>
        <vertAlign val="superscript"/>
        <sz val="16"/>
        <color theme="0"/>
        <rFont val="Meiryo UI"/>
        <family val="3"/>
        <charset val="128"/>
      </rPr>
      <t>※3</t>
    </r>
    <rPh sb="0" eb="2">
      <t>シュトク</t>
    </rPh>
    <rPh sb="2" eb="5">
      <t>ネンガッピ</t>
    </rPh>
    <phoneticPr fontId="2"/>
  </si>
  <si>
    <t>保管場所及び設置場所
(所在地)</t>
    <rPh sb="0" eb="2">
      <t>ホカン</t>
    </rPh>
    <rPh sb="2" eb="4">
      <t>バショ</t>
    </rPh>
    <rPh sb="4" eb="5">
      <t>オヨ</t>
    </rPh>
    <rPh sb="6" eb="8">
      <t>セッチ</t>
    </rPh>
    <rPh sb="8" eb="10">
      <t>バショ</t>
    </rPh>
    <rPh sb="12" eb="15">
      <t>ショザイチ</t>
    </rPh>
    <phoneticPr fontId="2"/>
  </si>
  <si>
    <t>種類・設備の種類</t>
    <rPh sb="0" eb="2">
      <t>シュルイ</t>
    </rPh>
    <rPh sb="3" eb="5">
      <t>セツビ</t>
    </rPh>
    <rPh sb="6" eb="8">
      <t>シュルイ</t>
    </rPh>
    <phoneticPr fontId="2"/>
  </si>
  <si>
    <t>構造又は用途</t>
    <rPh sb="0" eb="2">
      <t>コウゾウ</t>
    </rPh>
    <rPh sb="2" eb="3">
      <t>マタ</t>
    </rPh>
    <rPh sb="4" eb="6">
      <t>ヨウト</t>
    </rPh>
    <phoneticPr fontId="2"/>
  </si>
  <si>
    <t>細目</t>
    <rPh sb="0" eb="2">
      <t>サイモク</t>
    </rPh>
    <phoneticPr fontId="2"/>
  </si>
  <si>
    <r>
      <t>耐用年数</t>
    </r>
    <r>
      <rPr>
        <b/>
        <vertAlign val="superscript"/>
        <sz val="16"/>
        <color theme="0"/>
        <rFont val="Meiryo UI"/>
        <family val="3"/>
        <charset val="128"/>
      </rPr>
      <t>※4</t>
    </r>
    <r>
      <rPr>
        <b/>
        <sz val="16"/>
        <color theme="0"/>
        <rFont val="Meiryo UI"/>
        <family val="3"/>
        <charset val="128"/>
      </rPr>
      <t xml:space="preserve">
(処分制限期間)</t>
    </r>
    <rPh sb="0" eb="2">
      <t>タイヨウ</t>
    </rPh>
    <rPh sb="2" eb="4">
      <t>ネンスウ</t>
    </rPh>
    <rPh sb="8" eb="10">
      <t>ショブン</t>
    </rPh>
    <rPh sb="10" eb="12">
      <t>セイゲン</t>
    </rPh>
    <rPh sb="12" eb="14">
      <t>キカン</t>
    </rPh>
    <phoneticPr fontId="2"/>
  </si>
  <si>
    <t>備考</t>
    <rPh sb="0" eb="2">
      <t>ビコウ</t>
    </rPh>
    <phoneticPr fontId="2"/>
  </si>
  <si>
    <r>
      <t>類型・種類</t>
    </r>
    <r>
      <rPr>
        <b/>
        <vertAlign val="superscript"/>
        <sz val="16"/>
        <color theme="0"/>
        <rFont val="Meiryo UI"/>
        <family val="3"/>
        <charset val="128"/>
      </rPr>
      <t>※5</t>
    </r>
    <rPh sb="0" eb="2">
      <t>ルイケイ</t>
    </rPh>
    <rPh sb="3" eb="5">
      <t>シュルイ</t>
    </rPh>
    <phoneticPr fontId="2"/>
  </si>
  <si>
    <t>提出可否</t>
    <rPh sb="0" eb="2">
      <t>テイシュツ</t>
    </rPh>
    <rPh sb="2" eb="4">
      <t>カヒ</t>
    </rPh>
    <phoneticPr fontId="2"/>
  </si>
  <si>
    <t>形式チェック</t>
    <rPh sb="0" eb="2">
      <t>ケイシキ</t>
    </rPh>
    <phoneticPr fontId="2"/>
  </si>
  <si>
    <t>必須チェック</t>
    <rPh sb="0" eb="2">
      <t>ヒッス</t>
    </rPh>
    <phoneticPr fontId="2"/>
  </si>
  <si>
    <t>種類・設備の種類チェック</t>
    <rPh sb="0" eb="2">
      <t>シュルイ</t>
    </rPh>
    <rPh sb="3" eb="5">
      <t>セツビ</t>
    </rPh>
    <rPh sb="6" eb="8">
      <t>シュルイ</t>
    </rPh>
    <phoneticPr fontId="2"/>
  </si>
  <si>
    <t>構造又は
用途チェック</t>
    <rPh sb="0" eb="3">
      <t>コウゾウマタ</t>
    </rPh>
    <rPh sb="5" eb="7">
      <t>ヨウト</t>
    </rPh>
    <phoneticPr fontId="2"/>
  </si>
  <si>
    <t>細目
チェック</t>
    <rPh sb="0" eb="2">
      <t>サイモク</t>
    </rPh>
    <phoneticPr fontId="2"/>
  </si>
  <si>
    <t>類型・種類
チェック</t>
    <rPh sb="0" eb="2">
      <t>ルイケイ</t>
    </rPh>
    <rPh sb="3" eb="5">
      <t>シュルイ</t>
    </rPh>
    <phoneticPr fontId="2"/>
  </si>
  <si>
    <t>（※１）</t>
  </si>
  <si>
    <t>対象となる取得財産等は、本交付規程第２４条第１項に定める処分制限財産とします。</t>
  </si>
  <si>
    <t>（※２）</t>
  </si>
  <si>
    <t>数量は、同一規格等であれば一括して記入して差し支えありません。単価が異なる場合は、分割して記入してください。</t>
  </si>
  <si>
    <t>（※３）</t>
  </si>
  <si>
    <t>取得年月日は、検収年月日を記入してください。</t>
  </si>
  <si>
    <t>（※４）</t>
  </si>
  <si>
    <t>処分制限期間は税務申告上実際に使用している耐用年数ではなく、本交付規程第２４条第２項に基づき、減価償却資産の耐用年数に関する省令（昭和４０年大蔵省令第１５号）に定める耐用年数を記載してください。財産処分を行う場合の残存簿価相当額の算定根拠となります。</t>
  </si>
  <si>
    <t>（※５）</t>
  </si>
  <si>
    <t>「機械・装置・器具・備品・工具」の類型・種類の分野として、「ロボット、情報家電、自動車、医療・バイオ、産業機械、環境・エネルギー、航空宇宙、半導体、構造物、光学機器、鉄 鋼、衣料生活資材、印刷情報記録、食料品、化学工業、その他」の１６項目からお選びください。無体財産権の類型・種類の分野として、「特許権、実用新案権、意匠権、商標権、その他」の５項目からお選びください。</t>
  </si>
  <si>
    <t>1. 取得財産の品目及び取得年月日</t>
    <phoneticPr fontId="2"/>
  </si>
  <si>
    <t>処分の分類</t>
    <rPh sb="0" eb="2">
      <t>ショブン</t>
    </rPh>
    <rPh sb="3" eb="5">
      <t>ブンルイ</t>
    </rPh>
    <phoneticPr fontId="2"/>
  </si>
  <si>
    <r>
      <t>2. 見積額及び取得価格</t>
    </r>
    <r>
      <rPr>
        <b/>
        <vertAlign val="superscript"/>
        <sz val="16"/>
        <color theme="0"/>
        <rFont val="Meiryo UI"/>
        <family val="3"/>
        <charset val="128"/>
      </rPr>
      <t>※2,3,4,5</t>
    </r>
    <phoneticPr fontId="2"/>
  </si>
  <si>
    <t>財産名チェック</t>
    <rPh sb="0" eb="3">
      <t>ザイサンメイ</t>
    </rPh>
    <phoneticPr fontId="2"/>
  </si>
  <si>
    <t>数量チェック</t>
    <rPh sb="0" eb="2">
      <t>スウリョウ</t>
    </rPh>
    <phoneticPr fontId="2"/>
  </si>
  <si>
    <r>
      <t>品目(財産名)</t>
    </r>
    <r>
      <rPr>
        <b/>
        <vertAlign val="superscript"/>
        <sz val="16"/>
        <color theme="0"/>
        <rFont val="Meiryo UI"/>
        <family val="3"/>
        <charset val="128"/>
      </rPr>
      <t>※1</t>
    </r>
    <rPh sb="0" eb="2">
      <t>ヒンモク</t>
    </rPh>
    <rPh sb="3" eb="5">
      <t>ザイサン</t>
    </rPh>
    <rPh sb="5" eb="6">
      <t>メイ</t>
    </rPh>
    <phoneticPr fontId="2"/>
  </si>
  <si>
    <t>数量</t>
    <rPh sb="0" eb="2">
      <t>スウリョウ</t>
    </rPh>
    <phoneticPr fontId="2"/>
  </si>
  <si>
    <t>取得年月日</t>
    <rPh sb="0" eb="2">
      <t>シュトク</t>
    </rPh>
    <rPh sb="2" eb="5">
      <t>ネンガッピ</t>
    </rPh>
    <phoneticPr fontId="2"/>
  </si>
  <si>
    <t>見積取得先数</t>
    <rPh sb="0" eb="2">
      <t>ミツモリ</t>
    </rPh>
    <rPh sb="2" eb="4">
      <t>シュトク</t>
    </rPh>
    <rPh sb="4" eb="5">
      <t>サキ</t>
    </rPh>
    <rPh sb="5" eb="6">
      <t>スウ</t>
    </rPh>
    <phoneticPr fontId="2"/>
  </si>
  <si>
    <t>(1) 見積額(円)(税抜き)</t>
    <rPh sb="4" eb="6">
      <t>ミツモリ</t>
    </rPh>
    <rPh sb="6" eb="7">
      <t>ガク</t>
    </rPh>
    <rPh sb="8" eb="9">
      <t>エン</t>
    </rPh>
    <rPh sb="11" eb="13">
      <t>ゼイヌキ</t>
    </rPh>
    <phoneticPr fontId="2"/>
  </si>
  <si>
    <t>(2) 取得価格(円)(税抜き)</t>
    <rPh sb="4" eb="6">
      <t>シュトク</t>
    </rPh>
    <rPh sb="6" eb="8">
      <t>カカク</t>
    </rPh>
    <rPh sb="9" eb="10">
      <t>エン</t>
    </rPh>
    <rPh sb="12" eb="14">
      <t>ゼイヌキ</t>
    </rPh>
    <phoneticPr fontId="2"/>
  </si>
  <si>
    <t>合計</t>
    <rPh sb="0" eb="2">
      <t>ゴウケイ</t>
    </rPh>
    <phoneticPr fontId="2"/>
  </si>
  <si>
    <t>実績報告書提出時の「取得財産等管理台帳」より今回処分する財産名を抜粋。</t>
    <phoneticPr fontId="2"/>
  </si>
  <si>
    <t>目的外使用や廃棄による処分等で見積額を算出できない場合は見積額の入力は不要。</t>
  </si>
  <si>
    <t>見積書を３者以上徴取した場合は最も高い見積額を記載し、鑑定評価額とする。</t>
  </si>
  <si>
    <t>目的外使用、無償譲渡、無償貸付等の補助金返還額は、残存簿価相当額を以て算出する。</t>
  </si>
  <si>
    <t>３者未満の見積書を提出された場合、残存簿価相当額と鑑定評価額のいずれか高い額を適用する。</t>
  </si>
  <si>
    <t>決算月</t>
    <rPh sb="0" eb="2">
      <t>ケッサン</t>
    </rPh>
    <rPh sb="2" eb="3">
      <t>ヅキ</t>
    </rPh>
    <phoneticPr fontId="2"/>
  </si>
  <si>
    <r>
      <t xml:space="preserve">決算日
</t>
    </r>
    <r>
      <rPr>
        <b/>
        <sz val="12"/>
        <color theme="4" tint="0.79998168889431442"/>
        <rFont val="Meiryo UI"/>
        <family val="3"/>
        <charset val="128"/>
      </rPr>
      <t>※月末以外の
場合は入力</t>
    </r>
    <rPh sb="0" eb="2">
      <t>ケッサン</t>
    </rPh>
    <rPh sb="2" eb="3">
      <t>ヒ</t>
    </rPh>
    <rPh sb="5" eb="7">
      <t>ゲツマツ</t>
    </rPh>
    <rPh sb="7" eb="9">
      <t>イガイ</t>
    </rPh>
    <rPh sb="11" eb="13">
      <t>バアイ</t>
    </rPh>
    <rPh sb="14" eb="16">
      <t>ニュウリョク</t>
    </rPh>
    <phoneticPr fontId="2"/>
  </si>
  <si>
    <t>端数処理</t>
    <rPh sb="0" eb="2">
      <t>ハスウ</t>
    </rPh>
    <rPh sb="2" eb="4">
      <t>ショリ</t>
    </rPh>
    <phoneticPr fontId="2"/>
  </si>
  <si>
    <t>数値チェック</t>
    <rPh sb="0" eb="2">
      <t>スウチ</t>
    </rPh>
    <phoneticPr fontId="2"/>
  </si>
  <si>
    <t>日付チェック</t>
    <rPh sb="0" eb="2">
      <t>ヒヅケ</t>
    </rPh>
    <phoneticPr fontId="2"/>
  </si>
  <si>
    <t>処分価額・
残存簿価
チェック</t>
    <phoneticPr fontId="2"/>
  </si>
  <si>
    <t>処分価額・
鑑定評価額
チェック</t>
    <rPh sb="6" eb="11">
      <t>カンテイヒョウカガク</t>
    </rPh>
    <phoneticPr fontId="2"/>
  </si>
  <si>
    <t>-</t>
    <phoneticPr fontId="2"/>
  </si>
  <si>
    <t>耐用年数</t>
    <rPh sb="0" eb="2">
      <t>タイヨウ</t>
    </rPh>
    <rPh sb="2" eb="4">
      <t>ネンスウ</t>
    </rPh>
    <phoneticPr fontId="2"/>
  </si>
  <si>
    <t>処分価格(円)(税抜き)</t>
    <rPh sb="0" eb="2">
      <t>ショブン</t>
    </rPh>
    <rPh sb="2" eb="4">
      <t>カカク</t>
    </rPh>
    <rPh sb="5" eb="6">
      <t>エン</t>
    </rPh>
    <rPh sb="8" eb="10">
      <t>ゼイヌキ</t>
    </rPh>
    <phoneticPr fontId="2"/>
  </si>
  <si>
    <t>(2) 取得価格(円)(税抜き)</t>
  </si>
  <si>
    <t>処分日</t>
    <rPh sb="0" eb="2">
      <t>ショブン</t>
    </rPh>
    <rPh sb="2" eb="3">
      <t>ビ</t>
    </rPh>
    <phoneticPr fontId="2"/>
  </si>
  <si>
    <t>計算方法</t>
    <rPh sb="0" eb="2">
      <t>ケイサン</t>
    </rPh>
    <rPh sb="2" eb="4">
      <t>ホウホウ</t>
    </rPh>
    <phoneticPr fontId="2"/>
  </si>
  <si>
    <t>A. 残存簿価相当額
(円)(税抜き)</t>
    <phoneticPr fontId="2"/>
  </si>
  <si>
    <t>B. 当該処分財産に係った
補助対象経費(円)(税抜き)</t>
    <phoneticPr fontId="2"/>
  </si>
  <si>
    <t>C. Bに対する当該補助金の確定額(円)(税抜き)</t>
    <phoneticPr fontId="2"/>
  </si>
  <si>
    <t>D. 補助金の納付金額
(円)(税抜き)</t>
    <phoneticPr fontId="2"/>
  </si>
  <si>
    <t>決算月</t>
    <rPh sb="0" eb="2">
      <t>ケッサン</t>
    </rPh>
    <rPh sb="2" eb="3">
      <t>ツキ</t>
    </rPh>
    <phoneticPr fontId="2"/>
  </si>
  <si>
    <t>決算日</t>
    <rPh sb="0" eb="3">
      <t>ケッサンビ</t>
    </rPh>
    <phoneticPr fontId="2"/>
  </si>
  <si>
    <t>端数処理</t>
    <rPh sb="0" eb="4">
      <t>ハスウショリ</t>
    </rPh>
    <phoneticPr fontId="2"/>
  </si>
  <si>
    <t>月数の計算</t>
    <rPh sb="0" eb="2">
      <t>ツキスウ</t>
    </rPh>
    <rPh sb="3" eb="5">
      <t>ケイサン</t>
    </rPh>
    <phoneticPr fontId="2"/>
  </si>
  <si>
    <t>定率法の計算</t>
    <rPh sb="0" eb="3">
      <t>テイリツホウ</t>
    </rPh>
    <rPh sb="4" eb="6">
      <t>ケイサン</t>
    </rPh>
    <phoneticPr fontId="2"/>
  </si>
  <si>
    <t>残存簿価</t>
    <rPh sb="0" eb="2">
      <t>ザンゾン</t>
    </rPh>
    <rPh sb="2" eb="4">
      <t>ボカ</t>
    </rPh>
    <phoneticPr fontId="2"/>
  </si>
  <si>
    <t>取得日と処分日が
同一決算年度内の場合</t>
    <rPh sb="11" eb="13">
      <t>ケッサン</t>
    </rPh>
    <rPh sb="15" eb="16">
      <t>ナイ</t>
    </rPh>
    <phoneticPr fontId="2"/>
  </si>
  <si>
    <t>取得日と処分日が
決算年度をまたぐ場合</t>
    <phoneticPr fontId="2"/>
  </si>
  <si>
    <t>定率法</t>
    <rPh sb="0" eb="3">
      <t>テイリツホウ</t>
    </rPh>
    <phoneticPr fontId="2"/>
  </si>
  <si>
    <t>定額法</t>
    <rPh sb="0" eb="2">
      <t>テイガク</t>
    </rPh>
    <rPh sb="2" eb="3">
      <t>ホウ</t>
    </rPh>
    <phoneticPr fontId="2"/>
  </si>
  <si>
    <t>品目名</t>
  </si>
  <si>
    <t>耐用年数</t>
  </si>
  <si>
    <t>取得価格</t>
  </si>
  <si>
    <t>取得年月日</t>
    <rPh sb="0" eb="5">
      <t>シュトクネンガッピ</t>
    </rPh>
    <phoneticPr fontId="2"/>
  </si>
  <si>
    <t>処分日</t>
    <rPh sb="0" eb="3">
      <t>ショブンビ</t>
    </rPh>
    <phoneticPr fontId="2"/>
  </si>
  <si>
    <t>計算方法</t>
  </si>
  <si>
    <t>償却率</t>
  </si>
  <si>
    <t>改訂償却率</t>
  </si>
  <si>
    <t>保証率</t>
  </si>
  <si>
    <t>償却保証額</t>
    <rPh sb="0" eb="2">
      <t>ショウキャク</t>
    </rPh>
    <rPh sb="2" eb="4">
      <t>ホショウ</t>
    </rPh>
    <rPh sb="4" eb="5">
      <t>ガク</t>
    </rPh>
    <phoneticPr fontId="2"/>
  </si>
  <si>
    <t>取得日が属する
決算年度末日</t>
    <rPh sb="0" eb="3">
      <t>シュトクビ</t>
    </rPh>
    <rPh sb="4" eb="5">
      <t>ゾク</t>
    </rPh>
    <rPh sb="8" eb="10">
      <t>ケッサン</t>
    </rPh>
    <rPh sb="10" eb="14">
      <t>ネンドマツビ</t>
    </rPh>
    <phoneticPr fontId="2"/>
  </si>
  <si>
    <t>処分日が属する
決算年度末日</t>
    <rPh sb="0" eb="2">
      <t>ショブン</t>
    </rPh>
    <rPh sb="2" eb="3">
      <t>ビ</t>
    </rPh>
    <rPh sb="4" eb="5">
      <t>ゾク</t>
    </rPh>
    <rPh sb="8" eb="10">
      <t>ケッサン</t>
    </rPh>
    <rPh sb="10" eb="14">
      <t>ネンドマツビ</t>
    </rPh>
    <phoneticPr fontId="2"/>
  </si>
  <si>
    <t>処分日が属する
決算年度初日</t>
    <rPh sb="0" eb="2">
      <t>ショブン</t>
    </rPh>
    <rPh sb="2" eb="3">
      <t>ビ</t>
    </rPh>
    <rPh sb="4" eb="5">
      <t>ゾク</t>
    </rPh>
    <rPh sb="8" eb="10">
      <t>ケッサン</t>
    </rPh>
    <rPh sb="10" eb="12">
      <t>ネンド</t>
    </rPh>
    <rPh sb="12" eb="14">
      <t>ショニチ</t>
    </rPh>
    <phoneticPr fontId="2"/>
  </si>
  <si>
    <t>年数
(取得年度
～処分年度)</t>
    <rPh sb="0" eb="2">
      <t>ネンスウ</t>
    </rPh>
    <rPh sb="4" eb="8">
      <t>シュトクネンド</t>
    </rPh>
    <rPh sb="10" eb="14">
      <t>ショブンネンド</t>
    </rPh>
    <phoneticPr fontId="2"/>
  </si>
  <si>
    <t>取得年度
の総日数</t>
    <rPh sb="0" eb="4">
      <t>シュトクネンド</t>
    </rPh>
    <rPh sb="6" eb="9">
      <t>ソウニッスウ</t>
    </rPh>
    <phoneticPr fontId="2"/>
  </si>
  <si>
    <t>処分年度
の総日数</t>
    <rPh sb="0" eb="4">
      <t>ショブンネンド</t>
    </rPh>
    <rPh sb="6" eb="9">
      <t>ソウニッスウ</t>
    </rPh>
    <phoneticPr fontId="2"/>
  </si>
  <si>
    <t>月数</t>
    <rPh sb="0" eb="2">
      <t>ツキスウ</t>
    </rPh>
    <phoneticPr fontId="2"/>
  </si>
  <si>
    <t>1年目の月数
(取得日
～取得年度末日)</t>
    <rPh sb="1" eb="3">
      <t>ネンメ</t>
    </rPh>
    <rPh sb="4" eb="6">
      <t>ツキスウ</t>
    </rPh>
    <rPh sb="8" eb="10">
      <t>シュトク</t>
    </rPh>
    <rPh sb="10" eb="11">
      <t>ヒ</t>
    </rPh>
    <rPh sb="13" eb="18">
      <t>シュトクネンドマツ</t>
    </rPh>
    <rPh sb="18" eb="19">
      <t>ニチ</t>
    </rPh>
    <phoneticPr fontId="2"/>
  </si>
  <si>
    <t>最終年の月数
(処分年度初日
～処分日)</t>
    <rPh sb="0" eb="3">
      <t>サイシュウネン</t>
    </rPh>
    <rPh sb="4" eb="6">
      <t>ツキスウ</t>
    </rPh>
    <rPh sb="8" eb="12">
      <t>ショブンネンド</t>
    </rPh>
    <rPh sb="12" eb="13">
      <t>ハツ</t>
    </rPh>
    <rPh sb="13" eb="14">
      <t>ニチ</t>
    </rPh>
    <rPh sb="16" eb="19">
      <t>ショブンビ</t>
    </rPh>
    <phoneticPr fontId="2"/>
  </si>
  <si>
    <t>中間年度の月数</t>
    <rPh sb="0" eb="4">
      <t>チュウカンネンド</t>
    </rPh>
    <rPh sb="5" eb="7">
      <t>ゲッスウ</t>
    </rPh>
    <phoneticPr fontId="2"/>
  </si>
  <si>
    <t>月数</t>
  </si>
  <si>
    <t>期首帳簿価額</t>
    <phoneticPr fontId="2"/>
  </si>
  <si>
    <t>償却額(/年)</t>
  </si>
  <si>
    <t>種類・設備の種類 構造又は用途 細目 耐用年数（年） 建物 鉄骨鉄筋コンクリート造又は鉄筋コンクリート造のもの 事務所用又は美術館用のもの及び左記以外のもの 50 建物 鉄骨鉄筋コンクリート造又は鉄筋コンクリート造のもの 住宅用、寄宿舎用、宿泊所用、学校用又は体育館用のもの 47 建物 鉄骨鉄筋コンクリート造又は鉄筋コンクリート造のもの 飲食店用又は貸席用のもので、延べ面積のうちに占める木造内装部分の面積が三割を超えるもの 34 建物 鉄骨鉄筋コンクリート造又は鉄筋コンクリート造のもの 飲食店用、貸席用、劇場用、演奏場用、映画館用又は舞踏場用のもの（その他のもの） 41 建物 鉄骨鉄筋コンクリート造又は鉄筋コンクリート造のもの 旅館用又はホテル用のもの（延べ面積のうちに占める木造内装部分の面積が三割を超えるもの） 31 建物 鉄骨鉄筋コンクリート造又は鉄筋コンクリート造のもの 旅館用又はホテル用のもの（その他のもの） 39 建物 鉄骨鉄筋コンクリート造又は鉄筋コンクリート造のもの 店舗用のもの 39 建物 鉄骨鉄筋コンクリート造又は鉄筋コンクリート造のもの 病院用のもの 39 建物 鉄骨鉄筋コンクリート造又は鉄筋コンクリート造のもの 変電所用、発電所用、送受信所用、停車場用、車庫用、格納庫用、荷扱所用、映画製作ステージ用、屋内スケート場用、魚市場用又はと畜場用のもの 38 建物 鉄骨鉄筋コンクリート造又は鉄筋コンクリート造のもの 公衆浴場用のもの 31 建物 鉄骨鉄筋コンクリート造又は鉄筋コンクリート造のもの 工場（作業場を含む。）用又は倉庫用のもの（腐食性液体・気体の影響を直接全面的に受けるもの、冷蔵倉庫用、放射線を直接受けるもの） 24 建物 鉄骨鉄筋コンクリート造又は鉄筋コンクリート造のもの 工場（作業場を含む。）用又は倉庫用のもの（潮解性固体蔵置、著しい蒸気の影響を直接全面的に受けるもの） 31 建物 鉄骨鉄筋コンクリート造又は鉄筋コンクリート造のもの 工場（作業場を含む。）用又は倉庫用のもの（倉庫事業の倉庫用、冷蔵倉庫用） 21 建物 鉄骨鉄筋コンクリート造又は鉄筋コンクリート造のもの 工場（作業場を含む。）用又は倉庫用のもの（その他のもの） 31 建物 鉄骨鉄筋コンクリート造又は鉄筋コンクリート造のもの その他のもの 38 建物 れんが造、石造又はブロック造のもの 事務所用又は美術館用のもの及び左記以外のもの 41 建物 れんが造、石造又はブロック造のもの 店舗用、住宅用、寄宿舎用、宿泊所用、学校用又は体育館用のもの 38 建物 れんが造、石造又はブロック造のもの 飲食店用、貸席用、劇場用、演奏場用、映画館用又は舞踏場用のもの 38 建物 れんが造、石造又はブロック造のもの 旅館用、ホテル用又は病院用のもの 36 建物 れんが造、石造又はブロック造のもの 変電所用、発電所用、送受信所用、停車場用、車庫用、格納庫用、荷扱所用、映画製作ステージ用、屋内スケート場用、魚市場用又はと畜場用のもの 34 建物 れんが造、石造又はブロック造のもの 公衆浴場用のもの 30 建物 れんが造、石造又はブロック造のもの 工場（作業場を含む。）用又は倉庫用のもの（腐食性液体・気体の影響を直接全面的に受けるもの及び冷蔵倉庫用） 22 建物 れんが造、石造又はブロック造のもの 工場（作業場を含む。）用又は倉庫用のもの（塩、チリ硝石その他の潮解性固体蔵置、著しい蒸気の影響を直接全面的に受けるもの） 28 建物 れんが造、石造又はブロック造のもの 工場（作業場を含む。）用又は倉庫用のもの（倉庫事業の倉庫用、冷蔵倉庫用） 20 建物 れんが造、石造又はブロック造のもの 工場（作業場を含む。）用又は倉庫用のもの（その他のもの） 30 建物 れんが造、石造又はブロック造のもの その他のもの 34 建物 金属造のもの（骨格材の肉厚が4ミリメートルを超えるもの） 事務所用又は美術館用のもの及び左記以外のもの 38 建物 金属造のもの（骨格材の肉厚が4ミリメートルを超えるもの） 店舗用、住宅用、寄宿舎用、宿泊所用、学校用又は体育館用のもの 34 建物 金属造のもの（骨格材の肉厚が4ミリメートルを超えるもの） 飲食店用、貸席用、劇場用、演奏場用、映画館用又は舞踏場用のもの 31 建物 金属造のもの（骨格材の肉厚が4ミリメートルを超えるもの） 変電所用、発電所用、送受信所用、停車場用、車庫用、格納庫用、荷扱所用、映画製作ステージ用、屋内スケート場用、魚市場用又はと畜場用のもの 31 建物 金属造のもの（骨格材の肉厚が4ミリメートルを超えるもの） 旅館用、ホテル用又は病院用のもの 29 建物 金属造のもの（骨格材の肉厚が4ミリメートルを超えるもの） 公衆浴場用のもの 27 建物 金属造のもの（骨格材の肉厚が4ミリメートルを超えるもの） 工場（作業場を含む。）用又は倉庫用のもの（腐食性液体・気体、冷蔵倉庫、放射線を直接受けるもの） 20 建物 金属造のもの（骨格材の肉厚が4ミリメートルを超えるもの） 工場（作業場を含む。）用又は倉庫用のもの（潮解性固体蔵置、著しい蒸気の影響） 25 建物 金属造のもの（骨格材の肉厚が4ミリメートルを超えるもの） 工場（作業場を含む。）用又は倉庫用のもの（倉庫事業の倉庫用、冷蔵倉庫用） 19 建物 金属造のもの（骨格材の肉厚が4ミリメートルを超えるもの） 工場（作業場を含む。）用又は倉庫用のもの（その他のもの） 26 建物 金属造のもの（骨格材の肉厚が4ミリメートルを超えるもの） その他のもの 31 建物 金属造のもの（骨格材の肉厚が3ミリメートルを超え4ミリメートル以下） 事務所用又は美術館用のもの及び左記以外のもの 30 建物 金属造のもの（骨格材の肉厚が3ミリメートルを超え4ミリメートル以下） 店舗用、住宅用、寄宿舎用、宿泊所用、学校用又は体育館用のもの 27 建物 金属造のもの（骨格材の肉厚が3ミリメートルを超え4ミリメートル以下） 飲食店用、貸席用、劇場用、演奏場用、映画館用又は舞踏場用のもの 25 建物 金属造のもの（骨格材の肉厚が3ミリメートルを超え4ミリメートル以下） 変電所用、発電所用、送受信所用、停車場用、車庫用、格納庫用、荷扱所用、映画製作ステージ用、屋内スケート場用、魚市場用又はと畜場用のもの 25 建物 金属造のもの（骨格材の肉厚が3ミリメートルを超え4ミリメートル以下） 旅館用、ホテル用又は病院用のもの 24 建物 金属造のもの（骨格材の肉厚が3ミリメートルを超え4ミリメートル以下） 公衆浴場用のもの 19 建物 金属造のもの（骨格材の肉厚が3ミリメートルを超え4ミリメートル以下） 工場（作業場を含む。）用又は倉庫用のもの（腐食性液体・気体、冷蔵倉庫） 15 建物 金属造のもの（骨格材の肉厚が3ミリメートルを超え4ミリメートル以下） 工場（作業場を含む。）用又は倉庫用のもの（潮解性固体蔵置、著しい蒸気の影響） 19 建物 金属造のもの（骨格材の肉厚が3ミリメートルを超え4ミリメートル以下） 工場（作業場を含む。）用又は倉庫用のもの（その他のもの） 24 建物 金属造のもの（骨格材の肉厚が3ミリメートル以下） 事務所用又は美術館用のもの及び左記以外のもの 22 建物 金属造のもの（骨格材の肉厚が3ミリメートル以下） 店舗用、住宅用、寄宿舎用、宿泊所用、学校用又は体育館用のもの 19 建物 金属造のもの（骨格材の肉厚が3ミリメートル以下） 飲食店用、貸席用、劇場用、演奏場用、映画館用又は舞踏場用のもの 19 建物 金属造のもの（骨格材の肉厚が3ミリメートル以下） 変電所用、発電所用、送受信所用、停車場用、車庫用、格納庫用、荷扱所用、映画製作ステージ用、屋内スケート場用、魚市場用又はと畜場用のもの 19 建物 金属造のもの（骨格材の肉厚が3ミリメートル以下） 旅館用、ホテル用又は病院用のもの 17 建物 金属造のもの（骨格材の肉厚が3ミリメートル以下） 公衆浴場用のもの 15 建物 金属造のもの（骨格材の肉厚が3ミリメートル以下） 工場（作業場を含む。）用又は倉庫用のもの（腐食性液体・気体、冷蔵倉庫） 12 建物 金属造のもの（骨格材の肉厚が3ミリメートル以下） 工場（作業場を含む。）用又は倉庫用のもの（潮解性固体蔵置、著しい蒸気の影響） 14 建物 金属造のもの（骨格材の肉厚が3ミリメートル以下） 工場（作業場を含む。）用又は倉庫用のもの（その他のもの） 17 建物 木造又は合成樹脂造のもの 事務所用又は美術館用のもの及び左記以外のもの 24 建物 木造又は合成樹脂造のもの 店舗用、住宅用、寄宿舎用、宿泊所用、学校用又は体育館用のもの 22 建物 木造又は合成樹脂造のもの 飲食店用、貸席用、劇場用、演奏場用、映画館用又は舞踏場用のもの 20 建物 木造又は合成樹脂造のもの 変電所用、発電所用、送受信所用、停車場用、車庫用、格納庫用、荷扱所用、映画製作ステージ用、屋内スケート場用、魚市場用又はと畜場用のもの 17 建物 木造又は合成樹脂造のもの 旅館用、ホテル用又は病院用のもの 17 建物 木造又は合成樹脂造のもの 公衆浴場用のもの 12 建物 木造又は合成樹脂造のもの 工場（作業場を含む。）用又は倉庫用のもの（腐食性液体・気体、冷蔵倉庫） 9 建物 木造又は合成樹脂造のもの 工場（作業場を含む。）用又は倉庫用のもの（潮解性固体蔵置、著しい蒸気の影響） 11 建物 木造又は合成樹脂造のもの 工場（作業場を含む。）用又は倉庫用のもの（その他のもの） 15 建物 木骨モルタル造のもの 事務所用又は美術館用のもの及び左記以外のもの 22 建物 木骨モルタル造のもの 店舗用、住宅用、寄宿舎用、宿泊所用、学校用又は体育館用のもの 20 建物 木骨モルタル造のもの 飲食店用、貸席用、劇場用、演奏場用、映画館用又は舞踏場用のもの 19 建物 木骨モルタル造のもの 変電所用、発電所用、送受信所用、停車場用、車庫用、格納庫用、荷扱所用、映画製作ステージ用、屋内スケート場用、魚市場用又はと畜場用のもの 15 建物 木骨モルタル造のもの 旅館用、ホテル用又は病院用のもの 15 建物 木骨モルタル造のもの 公衆浴場用のもの 11 建物 木骨モルタル造のもの 工場（作業場を含む。）用又は倉庫用のもの（腐食性液体・気体、冷蔵倉庫） 7 建物 木骨モルタル造のもの 工場（作業場を含む。）用又は倉庫用のもの（潮解性固体蔵置、著しい蒸気の影響） 10 建物 木骨モルタル造のもの 工場（作業場を含む。）用又は倉庫用のもの（その他のもの） 14 建物 簡易建物 木製主要柱が10センチメートル角以下のもので、土居ぶき、杉皮ぶき、ルーフイングぶき又はトタンぶきのもの 10 建物 簡易建物 掘立造のもの及び仮設のもの 7 建物附属設備 電気設備（照明設備を含む。） 蓄電池電源設備 6 建物附属設備 電気設備（照明設備を含む。） その他のもの 15 建物附属設備 給排水又は衛生設備及びガス設備 （細目無し） 15 建物附属設備 冷房、暖房、通風又はボイラー設備 冷暖房設備（冷凍機の出力が22キロワット以下のもの） 13 建物附属設備 冷房、暖房、通風又はボイラー設備 その他のもの 15 建物附属設備 昇降機設備 エレベーター 17 建物附属設備 昇降機設備 エスカレーター 15 建物附属設備 消火、排煙又は災害報知設備及び格納式避難設備 （細目無し） 8 建物附属設備 エヤーカーテン又はドアー自動開閉設備 （細目無し） 12 建物附属設備 アーケード又は日よけ設備 主として金属製のもの 15 建物附属設備 アーケード又は日よけ設備 その他のもの 8 建物附属設備 店用簡易装備 （細目無し） 3 建物附属設備 可動間仕切り 簡易なもの 3 建物附属設備 可動間仕切り その他のもの 15 建物附属設備 前掲のもの以外のもの及び前掲の区分によらないもの 主として金属製のもの 18 建物附属設備 前掲のもの以外のもの及び前掲の区分によらないもの その他のもの 10 構築物 鉄道業用又は軌道業用のもの 軌条及びその附属品 20 構築物 鉄道業用又は軌道業用のもの まくら木（木製のもの） 8 構築物 鉄道業用又は軌道業用のもの まくら木（コンクリート製のもの） 20 構築物 鉄道業用又は軌道業用のもの まくら木（金属製のもの） 20 構築物 鉄道業用又は軌道業用のもの 分岐器 15 構築物 鉄道業用又は軌道業用のもの 通信線、信号線及び電灯電力線 30 構築物 鉄道業用又は軌道業用のもの 信号機 30 構築物 鉄道業用又は軌道業用のもの 送配電線及びき電線 40 構築物 鉄道業用又は軌道業用のもの 電車線及び第三軌条 20 構築物 鉄道業用又は軌道業用のもの 帰線ボンド 5 構築物 鉄道業用又は軌道業用のもの 電線支持物（電柱及び腕木を除く。） 30 構築物 鉄道業用又は軌道業用のもの 木柱及び木塔（腕木を含む。）架空索道用のもの 15 構築物 鉄道業用又は軌道業用のもの 木柱及び木塔（腕木を含む。）その他のもの 25 構築物 鉄道業用又は軌道業用のもの 線路設備・軌道設備・道床 60 構築物 鉄道業用又は軌道業用のもの その他のもの 16 構築物 鉄道業用又は軌道業用のもの 土工設備 57 構築物 鉄道業用又は軌道業用のもの 橋りよう（鉄筋コンクリート造のもの） 50 構築物 鉄道業用又は軌道業用のもの 橋りよう（鉄骨造のもの） 40 構築物 鉄道業用又は軌道業用のもの 橋りよう（その他のもの） 15 構築物 鉄道業用又は軌道業用のもの トンネル（鉄筋コンクリート造のもの） 60 構築物 鉄道業用又は軌道業用のもの トンネル（れんが造のもの） 35 構築物 鉄道業用又は軌道業用のもの トンネル（その他のもの） 30 構築物 鉄道業用又は軌道業用のもの その他のもの 21 構築物 鉄道業用又は軌道業用のもの 停車場設備 32 構築物 鉄道業用又は軌道業用のもの 電路設備（鉄柱、鉄塔、コンクリート柱及びコンクリート塔） 45 構築物 鉄道業用又は軌道業用のもの 踏切保安又は自動列車停止設備 12 構築物 鉄道業用又は軌道業用のもの その他のもの 19 構築物 鉄道業用又は軌道業用のもの その他のもの 40 構築物 その他の鉄道用又は軌道用のもの 軌条及びその附属品並びにまくら木 15 構築物 その他の鉄道用又は軌道用のもの 道床 60 構築物 その他の鉄道用又は軌道用のもの 土工設備 50 構築物 その他の鉄道用又は軌道用のもの 橋りよう（鉄筋コンクリート造のもの） 50 構築物 その他の鉄道用又は軌道用のもの 橋りよう（鉄骨造のもの） 40 構築物 その他の鉄道用又は軌道用のもの 橋りよう（その他のもの） 15 構築物 その他の鉄道用又は軌道用のもの トンネル（鉄筋コンクリート造のもの） 60 構築物 その他の鉄道用又は軌道用のもの トンネル（れんが造のもの） 35 構築物 その他の鉄道用又は軌道用のもの トンネル（その他のもの） 30 構築物 その他の鉄道用又は軌道用のもの その他のもの 30 構築物 発電用又は送配電用のもの 小水力発電用のもの（農山漁村電気導入促進法に基づき建設したものに限る。） 30 構築物 発電用又は送配電用のもの その他の水力発電用のもの（貯水池、調整池及び水路に限る。） 57 構築物 発電用又は送配電用のもの 汽力発電用のもの（岩壁、さん橋、堤防、防波堤、煙突、その他汽力発電用のもの） 41 構築物 発電用又は送配電用のもの 送電用のもの（地中電線路） 25 構築物 発電用又は送配電用のもの 送電用のもの（塔、柱、がい子、送電線、地線及び添加電話線） 36 構築物 発電用又は送配電用のもの 配電用のもの（鉄塔及び鉄柱） 50 構築物 発電用又は送配電用のもの 配電用のもの（鉄筋コンクリート柱） 42 構築物 発電用又は送配電用のもの 配電用のもの（木柱） 15 構築物 発電用又は送配電用のもの 配電用のもの（配電線） 30 構築物 発電用又は送配電用のもの 配電用のもの（引込線） 20 構築物 発電用又は送配電用のもの 配電用のもの（添架電話線） 30 構築物 発電用又は送配電用のもの 配電用のもの（地中電線路） 25 構築物 電気通信事業用のもの 通信ケーブル（光ファイバー製のもの） 10 構築物 電気通信事業用のもの 通信ケーブル（その他のもの） 13 構築物 電気通信事業用のもの 地中電線路 27 構築物 電気通信事業用のもの その他の線路設備 21 構築物 放送用又は無線通信用のもの 鉄塔及び鉄柱（円筒空中線式のもの） 30 構築物 放送用又は無線通信用のもの 鉄塔及び鉄柱（その他のもの） 40 構築物 放送用又は無線通信用のもの 鉄筋コンクリート柱 42 構築物 放送用又は無線通信用のもの 木塔及び木柱 10 構築物 放送用又は無線通信用のもの アンテナ 10 構築物 放送用又は無線通信用のもの 接地線及び放送用配線 10 構築物 農林業用のもの 主としてコンクリート造、れんが造、石造又はブロック造のもの（果樹棚又はホップ棚） 14 構築物 農林業用のもの 主としてコンクリート造、れんが造、石造又はブロック造のもの（その他のもの） 17 構築物 農林業用のもの 主として金属造のもの 14 構築物 農林業用のもの 主として木造のもの 5 構築物 農林業用のもの 土管を主としたもの 10 構築物 農林業用のもの その他のもの 8 構築物 広告用のもの 金属造のもの 20 構築物 広告用のもの その他のもの 10 構築物 競技場用、運動場用、遊園地用又は学校用のもの スタンド（主として鉄骨鉄筋コンクリート造又は鉄筋コンクリート造のもの） 45 構築物 競技場用、運動場用、遊園地用又は学校用のもの スタンド（主として鉄骨造のもの） 30 構築物 競技場用、運動場用、遊園地用又は学校用のもの スタンド（主として木造のもの） 10 構築物 競技場用、運動場用、遊園地用又は学校用のもの 競輪場用競走路（コンクリート敷のもの） 15 構築物 競技場用、運動場用、遊園地用又は学校用のもの 競輪場用競走路（その他のもの） 10 構築物 競技場用、運動場用、遊園地用又は学校用のもの ネット設備 15 構築物 競技場用、運動場用、遊園地用又は学校用のもの 野球場、陸上競技場、ゴルフコースその他のスポーツ場の排水その他の土工施設 30 構築物 競技場用、運動場用、遊園地用又は学校用のもの 水泳プール 30 構築物 競技場用、運動場用、遊園地用又は学校用のもの 児童用のもの（すべり台、ぶらんこ、ジャングルジムその他の遊戯用のもの） 10 構築物 競技場用、運動場用、遊園地用又は学校用のもの その他のもの 15 構築物 競技場用、運動場用、遊園地用又は学校用のもの その他のもの（主として木造のもの） 15 構築物 競技場用、運動場用、遊園地用又は学校用のもの その他のもの（その他のもの） 30 構築物 緑化施設及び庭園 工場緑化施設 7 構築物 緑化施設及び庭園 その他の緑化施設及び庭園（工場緑化施設に含まれるものを除く。） 20 構築物 舗装道路及び舗装路面 コンクリート敷、ブロック敷、れんが敷又は石敷のもの 15 構築物 舗装道路及び舗装路面 アスファルト敷又は木れんが敷のもの 10 構築物 舗装道路及び舗装路面 ビチューマルス敷のもの 3 構築物 鉄骨鉄筋コンクリート造又は鉄筋コンクリート造のもの（前掲のものを除く。） 水道用ダム 80 構築物 鉄骨鉄筋コンクリート造又は鉄筋コンクリート造のもの（前掲のものを除く。） トンネル 75 構築物 鉄骨鉄筋コンクリート造又は鉄筋コンクリート造のもの（前掲のものを除く。） 橋 60 構築物 鉄骨鉄筋コンクリート造又は鉄筋コンクリート造のもの（前掲のものを除く。） 岸壁、さん橋、防壁（爆発物用のものを除く。）、堤防、防波堤、塔、やぐら、上水道、水そう及び用水用ダム 50 構築物 鉄骨鉄筋コンクリート造又は鉄筋コンクリート造のもの（前掲のものを除く。） 乾ドック 45 構築物 鉄骨鉄筋コンクリート造又は鉄筋コンクリート造のもの（前掲のものを除く。） サイロ 35 構築物 鉄骨鉄筋コンクリート造又は鉄筋コンクリート造のもの（前掲のものを除く。） 下水道、煙突及び焼却炉 35 構築物 鉄骨鉄筋コンクリート造又は鉄筋コンクリート造のもの（前掲のものを除く。） 高架道路、製塩用沈殿池、飼育場及び塀 30 構築物 鉄骨鉄筋コンクリート造又は鉄筋コンクリート造のもの（前掲のものを除く。） 爆発物用防壁及び防油堤 25 構築物 鉄骨鉄筋コンクリート造又は鉄筋コンクリート造のもの（前掲のものを除く。） 造船台 24 構築物 鉄骨鉄筋コンクリート造又は鉄筋コンクリート造のもの（前掲のものを除く。） 放射性同位元素の放射線を直接受けるもの 15 構築物 鉄骨鉄筋コンクリート造又は鉄筋コンクリート造のもの（前掲のものを除く。） その他のもの 60 構築物 コンクリート造又はコンクリートブロック造のもの（前掲のものを除く。） やぐら及び用水池 40 構築物 コンクリート造又はコンクリートブロック造のもの（前掲のものを除く。） サイロ 34 構築物 コンクリート造又はコンクリートブロック造のもの（前掲のものを除く。） 岸壁、さん橋、防壁（爆発物用のものを除く。）、堤防、防波堤、トンネル、上水道及び水そう 30 構築物 コンクリート造又はコンクリートブロック造のもの（前掲のものを除く。） 下水道、飼育場及び塀 15 構築物 コンクリート造又はコンクリートブロック造のもの（前掲のものを除く。） 爆発物用防壁 13 構築物 コンクリート造又はコンクリートブロック造のもの（前掲のものを除く。） 引湯管 10 構築物 コンクリート造又はコンクリートブロック造のもの（前掲のものを除く。） 鉱業用廃石捨場 5 構築物 コンクリート造又はコンクリートブロック造のもの（前掲のものを除く。） その他のもの 40 構築物 れんが造のもの（前掲のものを除く。） 防壁（爆発物用のものを除く。）、堤防、防波堤及びトンネル 50 構築物 れんが造のもの（前掲のものを除く。） 煙突、煙道、焼却炉、塀及び爆発物用防壁（腐食性気体の影響を受けるもの） 7 構築物 れんが造のもの（前掲のものを除く。） 煙突、煙道、焼却炉、塀及び爆発物用防壁（その他のもの） 25 構築物 れんが造のもの（前掲のものを除く。） その他のもの 40 構築物 石造のもの（前掲のものを除く。） 岸壁、さん橋、防壁（爆発物用のものを除く。）、堤防、防波堤、上水道及び用水池 50 構築物 石造のもの（前掲のものを除く。） 乾ドック 45 構築物 石造のもの（前掲のものを除く。） 下水道、塀及び爆発物用防壁 35 構築物 石造のもの（前掲のものを除く。） その他のもの 50 構築物 土造のもの（前掲のものを除く。） 防壁（爆発物用のものを除く。）、堤防、防波堤及び自動車道 40 構築物 土造のもの（前掲のものを除く。） 上水道及び用水池 30 構築物 土造のもの（前掲のものを除く。） 下水道 15 構築物 土造のもの（前掲のものを除く。） 塀 20 構築物 土造のもの（前掲のものを除く。） 爆発物用防壁及び防油堤 17 構築物 土造のもの（前掲のものを除く。） その他のもの 40 構築物 金属造のもの（前掲のものを除く。） 橋（はね上げ橋を除く。） 45 構築物 金属造のもの（前掲のものを除く。） はね上げ橋及び鋼矢板岸壁 25 構築物 金属造のもの（前掲のものを除く。） サイロ 22 構築物 金属造のもの（前掲のものを除く。） 送配管（鋳鉄製のもの） 30 構築物 金属造のもの（前掲のものを除く。） 送配管（鋼鉄製のもの） 15 構築物 金属造のもの（前掲のものを除く。） ガス貯そう（液化ガス用のもの） 10 構築物 金属造のもの（前掲のものを除く。） ガス貯そう（その他のもの） 20 構築物 金属造のもの（前掲のものを除く。） 薬品貯そう（塩酸、フッ酸、発煙硫酸、濃硝酸その他の発煙性を有する無機酸用のもの） 8 構築物 金属造のもの（前掲のものを除く。） 薬品貯そう（有機酸用又は硫酸、硝酸その他前掲以外の無機酸用のもの） 10 構築物 金属造のもの（前掲のものを除く。） 薬品貯そう（アルカリ類用、塩水用、アルコール用その他のもの） 15 構築物 金属造のもの（前掲のものを除く。） 水そう及び油そう（鋳鉄製のもの） 25 構築物 金属造のもの（前掲のものを除く。） 水そう及び油そう（鋼鉄製のもの） 15 構築物 金属造のもの（前掲のものを除く。） 浮きドック 20 構築物 金属造のもの（前掲のものを除く。） 飼育場 15 構築物 金属造のもの（前掲のものを除く。） つり橋、煙突、焼却炉、打込み井戸、塀、街路灯及びガードレール 10 構築物 金属造のもの（前掲のものを除く。） 露天式立体駐車設備 15 構築物 金属造のもの（前掲のものを除く。） その他のもの 45 構築物 合成樹脂造のもの（前掲のものを除く。） （細目無し） 10 構築物 木造のもの（前掲のものを除く。） 橋、塔、やぐら及びドック 15 構築物 木造のもの（前掲のものを除く。） 岸壁、さん橋、防壁、堤防、防波堤、トンネル、水そう、引湯管及び塀 10 構築物 木造のもの（前掲のものを除く。） 飼育場 7 構築物 木造のもの（前掲のものを除く。） その他のもの 15 構築物 前掲のもの以外のもの及び前掲の区分によらないもの 主として木造のもの 15 構築物 前掲のもの以外のもの及び前掲の区分によらないもの その他のもの 50 船舶 船舶法第四条から第十九条までの適用を受ける鋼船 漁船（総トン数が500トン以上のもの） 12 船舶 船舶法第四条から第十九条までの適用を受ける鋼船 漁船（総トン数が500トン未満のもの） 9 船舶 船舶法第四条から第十九条までの適用を受ける鋼船 油そう船（総トン数が2000トン以上のもの） 13 船舶 船舶法第四条から第十九条までの適用を受ける鋼船 油そう船（総トン数が2000トン未満のもの） 11 船舶 船舶法第四条から第十九条までの適用を受ける鋼船 薬品そう船 10 船舶 船舶法第四条から第十九条までの適用を受ける鋼船 その他のもの（総トン数が2000トン以上のもの） 15 船舶 船舶法第四条から第十九条までの適用を受ける鋼船 その他のもの（総トン数が2000トン未満のもの・しゅんせつ船及び砂利採取船） 10 船舶 船舶法第四条から第十九条までの適用を受ける鋼船 その他のもの（総トン数が2000トン未満のもの・カーフェリー） 11 船舶 船舶法第四条から第十九条までの適用を受ける鋼船 その他のもの（総トン数が2000トン未満のもの・その他のもの） 14 船舶 船舶法第四条から第十九条までの適用を受ける木船 漁船 6 船舶 船舶法第四条から第十九条までの適用を受ける木船 薬品そう船 8 船舶 船舶法第四条から第十九条までの適用を受ける木船 その他のもの 10 船舶 船舶法第四条から第十九条までの適用を受ける軽合金船（他の項に掲げるものを除く。） （細目無し） 9 船舶 船舶法第四条から第十九条までの適用を受ける強化プラスチック船 （細目無し） 7 船舶 船舶法第四条から第十九条までの適用を受ける水中翼船及びホバークラフト （細目無し） 8 船舶 その他のもの 鋼船（しゅんせつ船及び砂利採取船） 7 船舶 その他のもの 鋼船（発電船及び搭載漁船） 8 船舶 その他のもの 鋼船（ひき船） 10 船舶 その他のもの 鋼船（その他のもの） 12 船舶 その他のもの 木船（搭載漁船） 4 船舶 その他のもの 木船（しゅんせつ船及び砂利採取船） 5 船舶 その他のもの 木船（動力漁船及びひき船） 6 船舶 その他のもの 木船（薬品そう船） 7 船舶 その他のもの 木船（その他のもの） 8 船舶 その他のもの モーターボート及び搭載漁船 4 船舶 その他のもの その他のもの 5 航空機 飛行機（主として金属製のもの） 最大離陸重量が130トンを超えるもの 10 航空機 飛行機（主として金属製のもの） 最大離陸重量が130トン以下のもので、5.7トンを超えるもの 8 航空機 飛行機（主として金属製のもの） 最大離陸重量が5.7トン以下のもの 5 航空機 飛行機（主として金属製のもの） その他のもの 5 航空機 その他のもの ヘリコプター及びグライダー 5 航空機 その他のもの その他のもの 5 車両及び運搬具 鉄道用又は軌道用車両（架空索道用搬器を含む。） 電気又は蒸気機関車 18 車両及び運搬具 鉄道用又は軌道用車両（架空索道用搬器を含む。） 電車 13 車両及び運搬具 鉄道用又は軌道用車両（架空索道用搬器を含む。） 内燃動車（制御車及び附随車を含む。） 11 車両及び運搬具 鉄道用又は軌道用車両（架空索道用搬器を含む。） 貨車（高圧ボンベ車及び高圧タンク車） 10 車両及び運搬具 鉄道用又は軌道用車両（架空索道用搬器を含む。） 貨車（薬品タンク車及び冷凍車） 12 車両及び運搬具 鉄道用又は軌道用車両（架空索道用搬器を含む。） 貨車（その他のタンク車及び特殊構造車） 15 車両及び運搬具 鉄道用又は軌道用車両（架空索道用搬器を含む。） 貨車（その他のもの） 20 車両及び運搬具 鉄道用又は軌道用車両（架空索道用搬器を含む。） 線路建設保守用工作車 10 車両及び運搬具 鉄道用又は軌道用車両（架空索道用搬器を含む。） 鋼索鉄道用車両 15 車両及び運搬具 鉄道用又は軌道用車両（架空索道用搬器を含む。） 架空索道用搬器（閉鎖式のもの） 10 車両及び運搬具 鉄道用又は軌道用車両（架空索道用搬器を含む。） 架空索道用搬器（その他のもの） 5 車両及び運搬具 鉄道用又は軌道用車両（架空索道用搬器を含む。） 無軌条電車 8 車両及び運搬具 鉄道用又は軌道用車両（架空索道用搬器を含む。） その他のもの 20 車両及び運搬具 特殊自動車 消防車、救急車、レントゲン車、散水車、放送宣伝車、移動無線車及びチップ製造車 5 車両及び運搬具 特殊自動車 モータースィーパー及び除雪車 4 車両及び運搬具 特殊自動車 タンク車、じんかい車、し尿車、寝台車、霊きゅう車、トラックミキサー、レッカーその他特殊車体を架装したもの（小型車：積載量2トン以下または総排気量2リットル以下） 3 車両及び運搬具 特殊自動車 タンク車、じんかい車、し尿車、寝台車、霊きゅう車、トラックミキサー、レッカーその他特殊車体を架装したもの（その他のもの） 4 車両及び運搬具 運送事業用、貸自動車業用又は自動車教習所用の車両及び運搬具 自動車（二輪又は三輪自動車を含み、乗合自動車を除く。）小型車（貨物自動車は積載量2トン以下、その他は総排気量2リットル以下） 3 車両及び運搬具 運送事業用、貸自動車業用又は自動車教習所用の車両及び運搬具 自動車（二輪又は三輪自動車を含み、乗合自動車を除く。）大型乗用車（総排気量3リットル以上） 5 車両及び運搬具 運送事業用、貸自動車業用又は自動車教習所用の車両及び運搬具 自動車（二輪又は三輪自動車を含み、乗合自動車を除く。）その他のもの 4 車両及び運搬具 運送事業用、貸自動車業用又は自動車教習所用の車両及び運搬具 乗合自動車 5 車両及び運搬具 運送事業用、貸自動車業用又は自動車教習所用の車両及び運搬具 自転車及びリヤカー 2 車両及び運搬具 運送事業用、貸自動車業用又は自動車教習所用の車両及び運搬具 被けん引車その他のもの 4 車両及び運搬具 前掲のもの以外のもの 自動車（二輪又は三輪自動車を除く。）小型車（総排気量0.66リットル以下） 4 車両及び運搬具 前掲のもの以外のもの 自動車（二輪又は三輪自動車を除く。）貨物自動車（ダンプ式のもの） 4 車両及び運搬具 前掲のもの以外のもの 自動車（二輪又は三輪自動車を除く。）貨物自動車（その他のもの） 5 車両及び運搬具 前掲のもの以外のもの 自動車（二輪又は三輪自動車を除く。）報道通信用のもの 5 車両及び運搬具 前掲のもの以外のもの 自動車（二輪又は三輪自動車を除く。）その他のもの 6 車両及び運搬具 前掲のもの以外のもの 二輪又は三輪自動車 3 車両及び運搬具 前掲のもの以外のもの 自転車 2 車両及び運搬具 前掲のもの以外のもの 鉱山用人車、炭車、鉱車及び台車（金属製のもの） 7 車両及び運搬具 前掲のもの以外のもの 鉱山用人車、炭車、鉱車及び台車（その他のもの） 4 車両及び運搬具 前掲のもの以外のもの フォークリフト 4 車両及び運搬具 前掲のもの以外のもの トロッコ（金属製のもの） 5 車両及び運搬具 前掲のもの以外のもの トロッコ（その他のもの） 3 車両及び運搬具 前掲のもの以外のもの その他のもの（自走能力を有するもの） 7 車両及び運搬具 前掲のもの以外のもの その他のもの（その他のもの） 4 工具 測定工具及び検査工具（電気又は電子を利用するものを含む。） （細目無し） 5 工具 治具及び取付工具 （細目無し） 3 工具 ロール 金属圧延用のもの 4 工具 ロール なっ染ロール、粉砕ロール、混練ロールその他のもの 3 工具 型（型枠を含む。）、鍛圧工具及び打抜工具 プレスその他の金属加工用金型、合成樹脂、ゴム又はガラス成型用金型及び鋳造用型 2 工具 型（型枠を含む。）、鍛圧工具及び打抜工具 その他のもの 3 工具 切削工具 （細目無し） 2 工具 金属製柱及びカッペ （細目無し） 3 工具 活字及び活字に常用される金属 購入活字（活字の形状のまま反復使用するものに限る。） 2 工具 活字及び活字に常用される金属 自製活字及び活字に常用される金属 8 工具 前掲のもの以外のもの 白金ノズル 13 工具 前掲のもの以外のもの その他のもの 3 工具 前掲の区分によらないもの 白金ノズル 13 工具 前掲の区分によらないもの その他の主として金属製のもの 8 工具 前掲の区分によらないもの その他のもの 4 器具及び備品 家具、電気機器、ガス機器及び家庭用品 事務机、事務いす及びキャビネット（主として金属製のもの） 15 器具及び備品 家具、電気機器、ガス機器及び家庭用品 事務机、事務いす及びキャビネット（その他のもの） 8 器具及び備品 家具、電気機器、ガス機器及び家庭用品 応接セット（接客業用のもの） 5 器具及び備品 家具、電気機器、ガス機器及び家庭用品 応接セット（その他のもの） 8 器具及び備品 家具、電気機器、ガス機器及び家庭用品 ベッド 8 器具及び備品 家具、電気機器、ガス機器及び家庭用品 児童用机及びいす 5 器具及び備品 家具、電気機器、ガス機器及び家庭用品 陳列だな及び陳列ケース（冷凍機付又は冷蔵機付のもの） 6 器具及び備品 家具、電気機器、ガス機器及び家庭用品 陳列だな及び陳列ケース（その他のもの） 8 器具及び備品 家具、電気機器、ガス機器及び家庭用品 その他の家具（接客業用のもの） 5 器具及び備品 家具、電気機器、ガス機器及び家庭用品 その他の家具（その他のもの・主として金属製のもの） 15 器具及び備品 家具、電気機器、ガス機器及び家庭用品 その他の家具（その他のもの・その他のもの） 8 器具及び備品 家具、電気機器、ガス機器及び家庭用品 ラジオ、テレビジョン、テープレコーダーその他の音響機器 5 器具及び備品 家具、電気機器、ガス機器及び家庭用品 冷房用又は暖房用機器 6 器具及び備品 家具、電気機器、ガス機器及び家庭用品 電気冷蔵庫、電気洗濯機その他これらに類する電気又はガス機器 6 器具及び備品 家具、電気機器、ガス機器及び家庭用品 氷冷蔵庫及び冷蔵ストッカー（電気式のものを除く。） 4 器具及び備品 家具、電気機器、ガス機器及び家庭用品 カーテン、座ぶとん、寝具、丹前その他これらに類する繊維製品 3 器具及び備品 家具、電気機器、ガス機器及び家庭用品 じゅうたんその他の床用敷物（小売業用、接客業用、放送用、レコード吹込用又は劇場用のもの） 3 器具及び備品 家具、電気機器、ガス機器及び家庭用品 じゅうたんその他の床用敷物（その他のもの） 6 器具及び備品 家具、電気機器、ガス機器及び家庭用品 室内装飾品（主として金属製のもの） 15 器具及び備品 家具、電気機器、ガス機器及び家庭用品 室内装飾品（その他のもの） 8 器具及び備品 家具、電気機器、ガス機器及び家庭用品 食事又は厨房用品（陶磁器製又はガラス製のもの） 2 器具及び備品 家具、電気機器、ガス機器及び家庭用品 食事又は厨房用品（その他のもの） 5 器具及び備品 家具、電気機器、ガス機器及び家庭用品 その他のもの（主として金属製のもの） 15 器具及び備品 家具、電気機器、ガス機器及び家庭用品 その他のもの（その他のもの） 8 器具及び備品 事務機器及び通信機器 謄写機器及びタイプライター（孔版印刷又は印書業用のもの） 3 器具及び備品 事務機器及び通信機器 謄写機器及びタイプライター（その他のもの） 5 器具及び備品 事務機器及び通信機器 電子計算機（パーソナルコンピュータ：サーバー用除く） 4 器具及び備品 事務機器及び通信機器 電子計算機（その他のもの） 5 器具及び備品 事務機器及び通信機器 複写機、計算機（電子計算機を除く。）、金銭登録機、タイムレコーダーその他 5 器具及び備品 事務機器及び通信機器 その他の事務機器 5 器具及び備品 事務機器及び通信機器 テレタイプライター及びファクシミリ 5 器具及び備品 事務機器及び通信機器 インターホーン及び放送用設備 6 器具及び備品 事務機器及び通信機器 電話設備その他の通信機器（デジタル構内交換設備及びデジタルボタン電話設備） 6 器具及び備品 事務機器及び通信機器 電話設備その他の通信機器（その他のもの） 10 器具及び備品 時計、試験機器及び測定機器 時計 10 器具及び備品 時計、試験機器及び測定機器 度量衡器 5 器具及び備品 時計、試験機器及び測定機器 試験又は測定機器 5 器具及び備品 光学機器及び写真製作機器 オペラグラス 2 器具及び備品 光学機器及び写真製作機器 カメラ、映画撮影機、映写機及び望遠鏡 5 器具及び備品 光学機器及び写真製作機器 引伸機、焼付機、乾燥機、顕微鏡その他の機器 8 器具及び備品 看板及び広告器具 看板、ネオンサイン及び気球 3 器具及び備品 看板及び広告器具 マネキン人形及び模型 2 器具及び備品 看板及び広告器具 その他のもの（主として金属製のもの） 10 器具及び備品 看板及び広告器具 その他のもの（その他のもの） 5 器具及び備品 容器及び金庫 ボンベ（溶接製のもの） 6 器具及び備品 容器及び金庫 ボンベ（鍛造製のもの：塩素用のもの） 8 器具及び備品 容器及び金庫 ボンベ（鍛造製のもの：その他のもの） 10 器具及び備品 容器及び金庫 ドラムかん、コンテナーその他の容器（大型コンテナー：長さ6メートル以上） 7 器具及び備品 容器及び金庫 ドラムかん、コンテナーその他の容器（金属製のもの） 3 器具及び備品 容器及び金庫 ドラムかん、コンテナーその他の容器（その他のもの） 2 器具及び備品 容器及び金庫 金庫（手さげ金庫） 5 器具及び備品 容器及び金庫 金庫（その他のもの） 20 器具及び備品 理容又は美容機器 （細目無し） 5 器具及び備品 医療機器 消毒殺菌用機器 4 器具及び備品 医療機器 手術機器 5 器具及び備品 医療機器 血液透析又は血しょう交換用機器 7 器具及び備品 医療機器 ハバードタンクその他の作動部分を有する機能回復訓練機器 6 器具及び備品 医療機器 調剤機器 6 器具及び備品 医療機器 歯科診療用ユニット 7 器具及び備品 医療機器 光学検査機器（ファイバースコープ） 6 器具及び備品 医療機器 光学検査機器（その他のもの） 8 器具及び備品 医療機器 レントゲンその他の電子装置を使用する機器（移動式、救急医療用、自動血液分析器） 4 器具及び備品 医療機器 レントゲンその他の電子装置を使用する機器（その他のもの） 6 器具及び備品 医療機器 その他のもの（陶磁器製又はガラス製のもの） 3 器具及び備品 医療機器 その他のもの（主として金属製のもの） 10 器具及び備品 医療機器 その他のもの（その他のもの） 5 器具及び備品 娯楽又はスポーツ器具及び興行又は演劇用具 たまつき用具 8 器具及び備品 娯楽又はスポーツ器具及び興行又は演劇用具 パチンコ器、ビンゴ器その他これらに類する球戯用具及び射的用具 2 器具及び備品 娯楽又はスポーツ器具及び興行又は演劇用具 ご、しょうぎ、マージャン、その他の遊戯具 5 器具及び備品 娯楽又はスポーツ器具及び興行又は演劇用具 スポーツ具 3 器具及び備品 娯楽又はスポーツ器具及び興行又は演劇用具 劇場用観客いす 3 器具及び備品 娯楽又はスポーツ器具及び興行又は演劇用具 どん帳及び幕 5 器具及び備品 娯楽又はスポーツ器具及び興行又は演劇用具 衣装、かつら、小道具及び大道具 2 器具及び備品 娯楽又はスポーツ器具及び興行又は演劇用具 その他のもの（主として金属製のもの） 10 器具及び備品 娯楽又はスポーツ器具及び興行又は演劇用具 その他のもの（その他のもの） 5 器具及び備品 生物 植物（貸付業用のもの） 2 器具及び備品 生物 植物（その他のもの） 15 器具及び備品 生物 動物（魚類） 2 器具及び備品 生物 動物（鳥類） 4 器具及び備品 生物 動物（その他のもの） 8 器具及び備品 前掲のもの以外のもの 映画フィルム（スライドを含む。）、磁気テープ及びレコード 2 器具及び備品 前掲のもの以外のもの シート及びロープ 2 器具及び備品 前掲のもの以外のもの きのこ栽培用ほだ木 3 器具及び備品 前掲のもの以外のもの 漁具 3 器具及び備品 前掲のもの以外のもの 葬儀用具 3 器具及び備品 前掲のもの以外のもの 楽器 5 器具及び備品 前掲のもの以外のもの 自動販売機（手動のものを含む。） 5 器具及び備品 前掲のもの以外のもの 無人駐車管理装置 5 器具及び備品 前掲のもの以外のもの 焼却炉 5 器具及び備品 前掲のもの以外のもの その他のもの（主として金属製のもの） 10 器具及び備品 前掲のもの以外のもの その他のもの（その他のもの） 5 器具及び備品 前掲する資産のうち、当該資産について定められている前掲の耐用年数によるもの以外のもの及び前掲の区分によらないもの 主として金属製のもの 15 器具及び備品 前掲する資産のうち、当該資産について定められている前掲の耐用年数によるもの以外のもの及び前掲の区分によらないもの その他のもの 8</t>
  </si>
  <si>
    <t>耐用年数表</t>
    <rPh sb="0" eb="4">
      <t>タイヨウネンスウ</t>
    </rPh>
    <rPh sb="4" eb="5">
      <t>ヒョウ</t>
    </rPh>
    <phoneticPr fontId="2"/>
  </si>
  <si>
    <t>償却率</t>
    <rPh sb="0" eb="3">
      <t>ショウキャクリツ</t>
    </rPh>
    <phoneticPr fontId="2"/>
  </si>
  <si>
    <t>(細目の条件付き書式用)</t>
    <rPh sb="1" eb="3">
      <t>サイモク</t>
    </rPh>
    <rPh sb="4" eb="7">
      <t>ジョウケンツ</t>
    </rPh>
    <rPh sb="8" eb="10">
      <t>ショシキ</t>
    </rPh>
    <rPh sb="10" eb="11">
      <t>ヨウ</t>
    </rPh>
    <phoneticPr fontId="2"/>
  </si>
  <si>
    <t>(耐用年数検索用)</t>
    <rPh sb="1" eb="5">
      <t>タイヨウネンスウ</t>
    </rPh>
    <rPh sb="5" eb="8">
      <t>ケンサクヨウ</t>
    </rPh>
    <phoneticPr fontId="2"/>
  </si>
  <si>
    <t>耐用年数</t>
    <rPh sb="0" eb="4">
      <t>タイヨウネンスウ</t>
    </rPh>
    <phoneticPr fontId="2"/>
  </si>
  <si>
    <t>類型・種類</t>
    <rPh sb="0" eb="2">
      <t>ルイケイ</t>
    </rPh>
    <rPh sb="3" eb="5">
      <t>シュルイ</t>
    </rPh>
    <phoneticPr fontId="2"/>
  </si>
  <si>
    <t>見積取得者数</t>
    <rPh sb="0" eb="2">
      <t>ミツモリ</t>
    </rPh>
    <rPh sb="2" eb="4">
      <t>シュトク</t>
    </rPh>
    <rPh sb="4" eb="5">
      <t>シャ</t>
    </rPh>
    <rPh sb="5" eb="6">
      <t>スウ</t>
    </rPh>
    <phoneticPr fontId="2"/>
  </si>
  <si>
    <t>決算月</t>
    <rPh sb="0" eb="3">
      <t>ケッサンヅキ</t>
    </rPh>
    <phoneticPr fontId="2"/>
  </si>
  <si>
    <t>改訂償却率</t>
    <rPh sb="0" eb="2">
      <t>カイテイ</t>
    </rPh>
    <rPh sb="2" eb="5">
      <t>ショウキャクリツ</t>
    </rPh>
    <phoneticPr fontId="2"/>
  </si>
  <si>
    <t>保証率</t>
    <rPh sb="0" eb="2">
      <t>ホショウ</t>
    </rPh>
    <rPh sb="2" eb="3">
      <t>リツ</t>
    </rPh>
    <phoneticPr fontId="2"/>
  </si>
  <si>
    <t>建物・建物付属設備</t>
    <phoneticPr fontId="2"/>
  </si>
  <si>
    <t xml:space="preserve"> </t>
    <phoneticPr fontId="2"/>
  </si>
  <si>
    <t>建物</t>
  </si>
  <si>
    <t>鉄骨鉄筋コンクリート造又は鉄筋コンクリート造のもの</t>
  </si>
  <si>
    <t>事務所用又は美術館用のもの及び左記以外のもの</t>
  </si>
  <si>
    <t>建物・建物付属設備</t>
  </si>
  <si>
    <t>機械・装置・器具・備品・工具</t>
    <phoneticPr fontId="2"/>
  </si>
  <si>
    <t>ロボット</t>
  </si>
  <si>
    <t>譲渡(有償)</t>
  </si>
  <si>
    <t>3者以上</t>
    <rPh sb="1" eb="4">
      <t>シャイジョウ</t>
    </rPh>
    <phoneticPr fontId="2"/>
  </si>
  <si>
    <t>切り上げ</t>
    <rPh sb="0" eb="1">
      <t>キ</t>
    </rPh>
    <rPh sb="2" eb="3">
      <t>ア</t>
    </rPh>
    <phoneticPr fontId="2"/>
  </si>
  <si>
    <t>住宅用、寄宿舎用、宿泊所用、学校用又は体育館用のもの</t>
  </si>
  <si>
    <t>機械・装置・器具・備品・工具</t>
  </si>
  <si>
    <t>情報家電</t>
  </si>
  <si>
    <t>譲渡(無償)</t>
  </si>
  <si>
    <t>3者未満</t>
    <rPh sb="1" eb="2">
      <t>シャ</t>
    </rPh>
    <rPh sb="2" eb="4">
      <t>ミマン</t>
    </rPh>
    <phoneticPr fontId="2"/>
  </si>
  <si>
    <t>切り捨て</t>
    <rPh sb="0" eb="1">
      <t>キ</t>
    </rPh>
    <rPh sb="2" eb="3">
      <t>ス</t>
    </rPh>
    <phoneticPr fontId="2"/>
  </si>
  <si>
    <t>ソフトウェア</t>
    <phoneticPr fontId="2"/>
  </si>
  <si>
    <t>飲食店用、貸席用、劇場用、演奏場用、映画館用又は舞踏場用のもの　飲食店用又は貸席用のもので、延べ面積のうちに占める木造内装部分の面積が三割を超えるもの</t>
  </si>
  <si>
    <t>自動車</t>
  </si>
  <si>
    <t>貸付(有償)</t>
  </si>
  <si>
    <t>四捨五入</t>
    <rPh sb="0" eb="4">
      <t>シシャゴニュウ</t>
    </rPh>
    <phoneticPr fontId="2"/>
  </si>
  <si>
    <t>無体財産権</t>
    <phoneticPr fontId="2"/>
  </si>
  <si>
    <t>飲食店用、貸席用、劇場用、演奏場用、映画館用又は舞踏場用のもの　その他のもの</t>
  </si>
  <si>
    <t>医療・バイオ</t>
  </si>
  <si>
    <t>貸付(無償)</t>
  </si>
  <si>
    <t>旅館用又はホテル用のもの　延べ面積のうちに占める木造内装部分の面積が三割を超えるもの</t>
  </si>
  <si>
    <t>産業機械</t>
  </si>
  <si>
    <t>交換</t>
  </si>
  <si>
    <t>旅館用又はホテル用のもの　その他のもの</t>
  </si>
  <si>
    <t>環境・エネルギー</t>
  </si>
  <si>
    <t>担保に供する処分</t>
  </si>
  <si>
    <t>店舗用のもの</t>
  </si>
  <si>
    <t>航空宇宙</t>
  </si>
  <si>
    <t>廃棄</t>
  </si>
  <si>
    <t>病院用のもの</t>
  </si>
  <si>
    <t>半導体</t>
  </si>
  <si>
    <t>目的外使用(場所を移動した場合)</t>
  </si>
  <si>
    <t>建物附属設備</t>
    <phoneticPr fontId="2"/>
  </si>
  <si>
    <t>変電所用、発電所用、送受信所用、停車場用、車庫用、格納庫用、荷扱所用、映画製作ステージ用、屋内スケート場用、魚市場用又はと畜場用のもの</t>
  </si>
  <si>
    <t>構造物</t>
  </si>
  <si>
    <t>目的外使用(場所を移動しなかった場合)</t>
  </si>
  <si>
    <t>建物附属設備</t>
  </si>
  <si>
    <t>公衆浴場用のもの</t>
  </si>
  <si>
    <t>光学機器</t>
  </si>
  <si>
    <t>工場（作業場を含む。）用又は倉庫用のもの　塩素、塩酸、硫酸、硝酸その他の著しい腐食性を有する液体又は気体の影響を直接全面的に受けるもの、冷蔵倉庫用のもの（倉庫事業の倉庫用のものを除く。）及び放射性同位元素の放射線を直接受けるもの</t>
  </si>
  <si>
    <t>鉄鋼</t>
    <phoneticPr fontId="2"/>
  </si>
  <si>
    <t>工場（作業場を含む。）用又は倉庫用のもの　塩、チリ硝石その他の著しい潮解性を有する固体を常時蔵置するためのもの及び著しい蒸気の影響を直接全面的に受けるもの</t>
  </si>
  <si>
    <t>衣料生活資材</t>
  </si>
  <si>
    <t>工場（作業場を含む。）用又は倉庫用のもの　その他のもの　倉庫事業の倉庫用のもの　冷蔵倉庫用のもの</t>
  </si>
  <si>
    <t>印刷情報記録</t>
  </si>
  <si>
    <t>工場（作業場を含む。）用又は倉庫用のもの　その他のもの　倉庫事業の倉庫用のもの　その他のもの</t>
  </si>
  <si>
    <t>食料品</t>
  </si>
  <si>
    <t>工場（作業場を含む。）用又は倉庫用のもの　その他のもの　その他のもの</t>
  </si>
  <si>
    <t>化学工業</t>
  </si>
  <si>
    <t>れんが造、石造又はブロック造のもの</t>
  </si>
  <si>
    <t>その他</t>
  </si>
  <si>
    <t>店舗用、住宅用、寄宿舎用、宿泊所用、学校用又は体育館用のもの</t>
  </si>
  <si>
    <t>特許権</t>
  </si>
  <si>
    <t>飲食店用、貸席用、劇場用、演奏場用、映画館用又は舞踏場用のもの</t>
  </si>
  <si>
    <t>無体財産権</t>
  </si>
  <si>
    <t>実用新案権</t>
  </si>
  <si>
    <t>工具</t>
  </si>
  <si>
    <t>旅館用、ホテル用又は病院用のもの</t>
  </si>
  <si>
    <t>意匠権</t>
  </si>
  <si>
    <t>商標権</t>
  </si>
  <si>
    <t>工場（作業場を含む。）用又は倉庫用のもの　塩素、塩酸、硫酸、硝酸その他の著しい腐食性を有する液体又は気体の影響を直接全面的に受けるもの及び冷蔵倉庫用のもの（倉庫事業の倉庫用のものを除く。）</t>
  </si>
  <si>
    <t>金属造のもの（骨格材の肉厚が四ミリメートルを超えるものに限る。）</t>
  </si>
  <si>
    <t>器具及び備品</t>
  </si>
  <si>
    <t>器具及び備品</t>
    <phoneticPr fontId="2"/>
  </si>
  <si>
    <t>金属造のもの（骨格材の肉厚が三ミリメートルを超え四ミリメートル以下のものに限る。）</t>
  </si>
  <si>
    <t>工場（作業場を含む。）用又は倉庫用のもの　塩素、塩酸、硫酸、硝酸その他の著しい腐食性を有する液体又は気体の影響を直接全面的に受けるもの及び冷蔵倉庫用のもの</t>
  </si>
  <si>
    <t>工場（作業場を含む。）用又は倉庫用のもの　その他のもの</t>
  </si>
  <si>
    <t>金属造のもの（骨格材の肉厚が三ミリメートル以下のものに限る。）</t>
  </si>
  <si>
    <t>木造又は合成樹脂造のもの</t>
  </si>
  <si>
    <t>木骨モルタル造のもの</t>
  </si>
  <si>
    <t>簡易建物</t>
  </si>
  <si>
    <t>木製主要柱が十センチメートル角以下のもので、土居ぶき、杉皮ぶき、ルーフイングぶき又はトタンぶきのもの</t>
  </si>
  <si>
    <t>掘立造のもの及び仮設のもの</t>
  </si>
  <si>
    <t>電気設備（照明設備を含む。）</t>
  </si>
  <si>
    <t>蓄電池電源設備</t>
  </si>
  <si>
    <t>その他のもの</t>
  </si>
  <si>
    <t>冷房、暖房、通風又はボイラー設備</t>
  </si>
  <si>
    <t>冷暖房設備（冷凍機の出力が二十二キロワット以下のもの）</t>
  </si>
  <si>
    <t>給排水又は衛生設備及びガス設備</t>
  </si>
  <si>
    <t>昇降機設備</t>
  </si>
  <si>
    <t>エレベーター</t>
  </si>
  <si>
    <t>エスカレーター</t>
  </si>
  <si>
    <t>アーケード又は日よけ設備</t>
  </si>
  <si>
    <t>主として金属製のもの</t>
  </si>
  <si>
    <t>消火、排煙又は災害報知設備及び格納式避難設備</t>
  </si>
  <si>
    <t>可動間仕切り</t>
  </si>
  <si>
    <t>簡易なもの</t>
  </si>
  <si>
    <t>エヤーカーテン又はドアー自動開閉設備</t>
  </si>
  <si>
    <t>前掲のもの以外のもの及び前掲の区分によらないもの</t>
  </si>
  <si>
    <t>店用簡易装備</t>
  </si>
  <si>
    <t>別表第六　建物及び建物附属設備／開発研究用減価償却資産</t>
  </si>
  <si>
    <t>建物の全部又は一部を低温室、恒温室、無響室、電磁しやへい室、放射性同位元素取扱室その他の特殊室にするために特に施設した内部造作又は建物附属設備</t>
  </si>
  <si>
    <t>ロール</t>
  </si>
  <si>
    <t>金属圧延用のもの</t>
  </si>
  <si>
    <t>なつ染ロール、粉砕ロール、混練ロールその他のもの</t>
  </si>
  <si>
    <t>型（型枠を含む。）、鍛圧工具及び打抜工具</t>
  </si>
  <si>
    <t>プレスその他の金属加工用金型、合成樹脂、ゴム又はガラス成型用金型及び鋳造用型</t>
  </si>
  <si>
    <t>活字及び活字に常用される金属</t>
  </si>
  <si>
    <t>購入活字（活字の形状のまま反復使用するものに限る。）</t>
  </si>
  <si>
    <t>測定工具及び検査工具（電気又は電子を利用するものを含む。）</t>
  </si>
  <si>
    <t>自製活字及び活字に常用される金属</t>
  </si>
  <si>
    <t>治具及び取付工具</t>
  </si>
  <si>
    <t>前掲のもの以外のもの</t>
  </si>
  <si>
    <t>白金ノズル</t>
  </si>
  <si>
    <t>前掲の区分によらないもの</t>
  </si>
  <si>
    <t>その他の主として金属製のもの</t>
  </si>
  <si>
    <t>切削工具</t>
  </si>
  <si>
    <t>１　家具、電気機器、ガス機器及び家庭用品（他の項に掲げるものを除く。）</t>
  </si>
  <si>
    <t>事務机、事務いす及びキャビネット　主として金属製のもの</t>
  </si>
  <si>
    <t>金属製柱及びカッペ</t>
  </si>
  <si>
    <t>事務机、事務いす及びキャビネット　その他のもの</t>
  </si>
  <si>
    <t>応接セット　接客業用のもの</t>
  </si>
  <si>
    <t>応接セット　その他のもの</t>
  </si>
  <si>
    <t>ベッド</t>
  </si>
  <si>
    <t>児童用机及びいす</t>
  </si>
  <si>
    <t>陳列だな及び陳列ケース　冷凍機付又は冷蔵機付のもの</t>
  </si>
  <si>
    <t>陳列だな及び陳列ケース　その他のもの</t>
  </si>
  <si>
    <t>その他の家具　接客業用のもの</t>
  </si>
  <si>
    <t>別表第六　工具／開発研究用減価償却資産</t>
  </si>
  <si>
    <t>その他の家具　その他のもの　主として金属製のもの</t>
  </si>
  <si>
    <t>その他の家具　その他のもの　その他のもの</t>
  </si>
  <si>
    <t>ラジオ、テレビジョン、テープレコーダーその他の音響機器</t>
  </si>
  <si>
    <t>冷房用又は暖房用機器</t>
  </si>
  <si>
    <t>電気冷蔵庫、電気洗濯機その他これらに類する電気又はガス機器</t>
  </si>
  <si>
    <t>氷冷蔵庫及び冷蔵ストッカー（電気式のものを除く。）</t>
  </si>
  <si>
    <t>カーテン、座ぶとん、寝具、丹前その他これらに類する繊維製品</t>
  </si>
  <si>
    <t>じゆうたんその他の床用敷物　小売業用、接客業用、放送用、レコード吹込用又は劇場用のもの</t>
  </si>
  <si>
    <t>じゆうたんその他の床用敷物　その他のもの</t>
  </si>
  <si>
    <t>室内装飾品　主として金属製のもの</t>
  </si>
  <si>
    <t>室内装飾品　その他のもの</t>
  </si>
  <si>
    <t>食事又はちゆう房用品　陶磁器製又はガラス製のもの</t>
  </si>
  <si>
    <t>食事又はちゆう房用品　その他のもの</t>
  </si>
  <si>
    <t>その他のもの　主として金属製のもの</t>
  </si>
  <si>
    <t>その他のもの　その他のもの</t>
  </si>
  <si>
    <t>２　事務機器及び通信機器</t>
  </si>
  <si>
    <t>謄写機器及びタイプライター　孔版印刷又は印書業用のもの</t>
  </si>
  <si>
    <t>謄写機器及びタイプライター　その他のもの</t>
  </si>
  <si>
    <t>電子計算機　パーソナルコンピュータ（サーバー用のものを除く。）</t>
  </si>
  <si>
    <t>電子計算機　その他のもの</t>
  </si>
  <si>
    <t>複写機、計算機（電子計算機を除く。）、金銭登録機、タイムレコーダーその他これらに類するもの</t>
  </si>
  <si>
    <t>その他の事務機器</t>
  </si>
  <si>
    <t>テレタイプライター及びファクシミリ</t>
  </si>
  <si>
    <t>インターホーン及び放送用設備</t>
  </si>
  <si>
    <t>電話設備その他の通信機器　デジタル構内交換設備及びデジタルボタン電話設備</t>
  </si>
  <si>
    <t>電話設備その他の通信機器　その他のもの</t>
  </si>
  <si>
    <t>３　時計、試験機器及び測定機器</t>
  </si>
  <si>
    <t>時計</t>
  </si>
  <si>
    <t>度量衡器</t>
  </si>
  <si>
    <t>試験又は測定機器</t>
  </si>
  <si>
    <t>４　光学機器及び写真製作機器</t>
  </si>
  <si>
    <t>オペラグラス</t>
  </si>
  <si>
    <t>カメラ、映画撮影機、映写機及び望遠鏡</t>
  </si>
  <si>
    <t>引伸機、焼付機、乾燥機、顕微鏡その他の機器</t>
  </si>
  <si>
    <t>５　看板及び広告器具</t>
  </si>
  <si>
    <t>看板、ネオンサイン及び気球</t>
  </si>
  <si>
    <t>マネキン人形及び模型</t>
  </si>
  <si>
    <t>６　容器及び金庫</t>
  </si>
  <si>
    <t>ボンベ　溶接製のもの</t>
  </si>
  <si>
    <t>ボンベ　鍛造製のもの　塩素用のもの</t>
  </si>
  <si>
    <t>ボンベ　鍛造製のもの　その他のもの</t>
  </si>
  <si>
    <t>ドラムかん、コンテナーその他の容器　大型コンテナー（長さが六メートル以上のものに限る。）</t>
  </si>
  <si>
    <t>ドラムかん、コンテナーその他の容器　その他のもの　金属製のもの</t>
  </si>
  <si>
    <t>ドラムかん、コンテナーその他の容器　その他のもの　その他のもの</t>
  </si>
  <si>
    <t>金庫　手さげ金庫</t>
  </si>
  <si>
    <t>金庫　その他のもの</t>
  </si>
  <si>
    <t>８　医療機器</t>
  </si>
  <si>
    <t>消毒殺菌用機器</t>
  </si>
  <si>
    <t>手術機器</t>
  </si>
  <si>
    <t>血液透析又は血しよう交換用機器</t>
  </si>
  <si>
    <t>ハバードタンクその他の作動部分を有する機能回復訓練機器</t>
  </si>
  <si>
    <t>調剤機器</t>
  </si>
  <si>
    <t>歯科診療用ユニット</t>
  </si>
  <si>
    <t>光学検査機器　ファイバースコープ</t>
  </si>
  <si>
    <t>光学検査機器　その他のもの</t>
  </si>
  <si>
    <t>その他のもの　レントゲンその他の電子装置を使用する機器　移動式のもの、救急医療用のもの及び自動血液分析器</t>
  </si>
  <si>
    <t>その他のもの　レントゲンその他の電子装置を使用する機器　その他のもの</t>
  </si>
  <si>
    <t>７　理容又は美容機器</t>
  </si>
  <si>
    <t>その他のもの　その他のもの　陶磁器製又はガラス製のもの</t>
  </si>
  <si>
    <t>その他のもの　その他のもの　主として金属製のもの</t>
  </si>
  <si>
    <t>その他のもの　その他のもの　その他のもの</t>
  </si>
  <si>
    <t>９　娯楽又はスポーツ器具及び興行又は演劇用具</t>
  </si>
  <si>
    <t>たまつき用具</t>
  </si>
  <si>
    <t>パチンコ器、ビンゴ器その他これらに類する球戯用具及び射的用具</t>
  </si>
  <si>
    <t>ご、しようぎ、まあじやん、その他の遊戯具</t>
  </si>
  <si>
    <t>スポーツ具</t>
  </si>
  <si>
    <t>劇場用観客いす</t>
  </si>
  <si>
    <t>どんちよう及び幕</t>
  </si>
  <si>
    <t>衣しよう、かつら、小道具及び大道具</t>
  </si>
  <si>
    <t>１０　生物</t>
  </si>
  <si>
    <t>植物　貸付業用のもの</t>
  </si>
  <si>
    <t>植物　その他のもの</t>
  </si>
  <si>
    <t>動物　魚類</t>
  </si>
  <si>
    <t>動物　鳥類</t>
  </si>
  <si>
    <t>動物　その他のもの</t>
  </si>
  <si>
    <t>１１　前掲のもの以外のもの</t>
  </si>
  <si>
    <t>映画フィルム（スライドを含む。）、磁気テープ及びレコード</t>
  </si>
  <si>
    <t>シート及びロープ</t>
  </si>
  <si>
    <t>きのこ栽培用ほだ木</t>
  </si>
  <si>
    <t>漁具</t>
  </si>
  <si>
    <t>葬儀用具</t>
  </si>
  <si>
    <t>楽器</t>
  </si>
  <si>
    <t>自動販売機（手動のものを含む。）</t>
  </si>
  <si>
    <t>無人駐車管理装置</t>
  </si>
  <si>
    <t>焼却炉</t>
  </si>
  <si>
    <t>１２　前掲する資産のうち、当該資産について定められている前掲の耐用年数によるもの以外のもの及び前掲の区分によらないもの</t>
  </si>
  <si>
    <t>別表第六　器具及び備品／開発研究用減価償却資産</t>
  </si>
  <si>
    <t>試験又は測定機器、計算機器、撮影機及び顕微鏡</t>
  </si>
  <si>
    <t>3 繊維工業用設備</t>
  </si>
  <si>
    <t>炭素繊維製造設備　黒鉛化炉</t>
  </si>
  <si>
    <t>炭素繊維製造設備　その他の設備</t>
  </si>
  <si>
    <t>その他の設備</t>
  </si>
  <si>
    <t>7 印刷業又は印刷関連業用設備</t>
  </si>
  <si>
    <t>デジタル印刷システム設備</t>
  </si>
  <si>
    <t>製本業用設備</t>
  </si>
  <si>
    <t>新聞業用設備　モノタイプ、写真又は通信設備</t>
  </si>
  <si>
    <t>新聞業用設備　その他の設備</t>
  </si>
  <si>
    <t>8 化学工業用設備</t>
  </si>
  <si>
    <t>臭素、よう素又は塩素、臭素若しくはよう素化合物製造設備</t>
  </si>
  <si>
    <t>塩化りん製造設備</t>
  </si>
  <si>
    <t>活性炭製造設備</t>
  </si>
  <si>
    <t>1 食料品製造業用設備</t>
  </si>
  <si>
    <t>ゼラチン又はにかわ製造設備</t>
  </si>
  <si>
    <t>2 飲料、たばこ又は飼料製造業用設備</t>
  </si>
  <si>
    <t>半導体用フォトレジスト製造設備</t>
  </si>
  <si>
    <t>フラットパネル用カラーフィルター、偏光板又は偏光板用フィルム製造設備</t>
  </si>
  <si>
    <t>14 鉄鋼業用設備</t>
  </si>
  <si>
    <t>表面処理鋼材若しくは鉄粉製造業又は鉄スクラップ加工処理業用設備</t>
  </si>
  <si>
    <t>4 木材又は木製品（家具を除く。）製造業用設備</t>
  </si>
  <si>
    <t>純鉄、原鉄、ベースメタル、フェロアロイ、鉄素形材又は鋳鉄管製造業用設備</t>
  </si>
  <si>
    <t>5 家具又は装備品製造業用設備</t>
  </si>
  <si>
    <t>6 パルプ、紙又は紙加工品製造業用設備</t>
  </si>
  <si>
    <t>15 非鉄金属製造業用設備</t>
  </si>
  <si>
    <t>核燃料物質加工設備</t>
  </si>
  <si>
    <t>16 金属製品製造業用設備</t>
  </si>
  <si>
    <t>金属被覆及び彫刻業又は打はく及び金属製ネームプレート製造業用設備</t>
  </si>
  <si>
    <t>18 生産用機械器具（物の生産の用に供されるものをいう。）製造業用設備（次号及び第二一号に掲げるものを除く。）</t>
  </si>
  <si>
    <t>金属加工機械製造設備</t>
  </si>
  <si>
    <t>20 電子部品、デバイス又は電子回路製造業用設備</t>
  </si>
  <si>
    <t>光ディスク（追記型又は書換え型のものに限る。）製造設備</t>
  </si>
  <si>
    <t>プリント配線基板製造設備</t>
  </si>
  <si>
    <t>フラットパネルディスプレイ、半導体集積回路又は半導体素子製造設備</t>
  </si>
  <si>
    <t>29 鉱業、採石業又は砂利採取業用設備</t>
  </si>
  <si>
    <t>石油又は天然ガス鉱業用設備　坑井設備</t>
  </si>
  <si>
    <t>石油又は天然ガス鉱業用設備　掘さく設備</t>
  </si>
  <si>
    <t>石油又は天然ガス鉱業用設備　その他の設備</t>
  </si>
  <si>
    <t>9 石油製品又は石炭製品製造業用設備</t>
  </si>
  <si>
    <t>10 プラスチック製品製造業用設備（他の号に掲げるものを除く。）</t>
  </si>
  <si>
    <t>31 電気業用設備</t>
  </si>
  <si>
    <t>電気業用水力発電設備</t>
  </si>
  <si>
    <t>11 ゴム製品製造業用設備</t>
  </si>
  <si>
    <t>その他の水力発電設備</t>
  </si>
  <si>
    <t>12 なめし革、なめし革製品又は毛皮製造業用設備</t>
  </si>
  <si>
    <t>汽力発電設備</t>
  </si>
  <si>
    <t>13 窯業又は土石製品製造業用設備</t>
  </si>
  <si>
    <t>内燃力又はガスタービン発電設備</t>
  </si>
  <si>
    <t>送電又は電気業用変電若しくは配電設備　需要者用計器</t>
  </si>
  <si>
    <t>送電又は電気業用変電若しくは配電設備　柱上変圧器</t>
  </si>
  <si>
    <t>送電又は電気業用変電若しくは配電設備　その他の設備</t>
  </si>
  <si>
    <t>鉄道又は軌道業用変電設備</t>
  </si>
  <si>
    <t>その他の設備　主として金属製のもの</t>
  </si>
  <si>
    <t>その他の設備　その他のもの</t>
  </si>
  <si>
    <t>32 ガス業用設備</t>
  </si>
  <si>
    <t>製造用設備</t>
  </si>
  <si>
    <t>17 はん用機械器具（はん用性を有するもので、他の器具及び備品並びに機械及び装置に組み込み、又は取り付けることによりその用に供されるものをいう。）製造業用設備（第二〇号及び第二二号に掲げるものを除く。）</t>
  </si>
  <si>
    <t>供給用設備　鋳鉄製導管</t>
  </si>
  <si>
    <t>供給用設備　鋳鉄製導管以外の導管</t>
  </si>
  <si>
    <t>供給用設備　需要者用計量器</t>
  </si>
  <si>
    <t>19 業務用機械器具（業務用又はサービスの生産の用に供されるもの（これらのものであつて物の生産の用に供されるものを含む。）をいう。）製造業用設備（第一七号、第二一号及び第二三号に掲げるものを除く。）</t>
  </si>
  <si>
    <t>供給用設備　その他の設備</t>
  </si>
  <si>
    <t>38 鉄道業用設備</t>
  </si>
  <si>
    <t>自動改札装置</t>
  </si>
  <si>
    <t>21 電気機械器具製造業用設備</t>
  </si>
  <si>
    <t>43 建築材料、鉱物又は金属材料等卸売業用設備</t>
  </si>
  <si>
    <t>石油又は液化石油ガス卸売用設備（貯そうを除く。）</t>
  </si>
  <si>
    <t>22 情報通信機械器具製造業用設備</t>
  </si>
  <si>
    <t>23 輸送用機械器具製造業用設備</t>
  </si>
  <si>
    <t>45 その他の小売業用設備</t>
  </si>
  <si>
    <t>ガソリン又は液化石油ガススタンド設備</t>
  </si>
  <si>
    <t>24 その他の製造業用設備</t>
  </si>
  <si>
    <t>25 農業用設備</t>
  </si>
  <si>
    <t>26 林業用設備</t>
  </si>
  <si>
    <t>46 技術サービス業用設備（他の号に掲げるものを除く。）</t>
  </si>
  <si>
    <t>計量証明業用設備</t>
  </si>
  <si>
    <t>27 漁業用設備（次号に掲げるものを除く。）</t>
  </si>
  <si>
    <t>28 水産養殖業用設備</t>
  </si>
  <si>
    <t>51 娯楽業用設備</t>
  </si>
  <si>
    <t>映画館又は劇場用設備</t>
  </si>
  <si>
    <t>遊園地用設備</t>
  </si>
  <si>
    <t>ボウリング場用設備</t>
  </si>
  <si>
    <t>30 総合工事業用設備</t>
  </si>
  <si>
    <t>52 教育業（学校教育業を除く。）又は学習支援業用設備</t>
  </si>
  <si>
    <t>教習用運転シミュレータ設備</t>
  </si>
  <si>
    <t>55 前掲の機械及び装置以外のもの並びに前掲の区分によらないもの</t>
  </si>
  <si>
    <t>機械式駐車設備</t>
  </si>
  <si>
    <t>ブルドーザー、パワーショベルその他の自走式作業用機械設備</t>
  </si>
  <si>
    <t>別表第六　機械及び装置／開発研究用減価償却資産</t>
  </si>
  <si>
    <t>汎用ポンプ、汎用モーター、汎用金属工作機械、汎用金属加工機械その他これらに類するもの</t>
  </si>
  <si>
    <t>ソフトウエア</t>
  </si>
  <si>
    <t>複写して販売するための原本</t>
  </si>
  <si>
    <t>育成者権</t>
  </si>
  <si>
    <t>種苗法（平成十年法律第八十三号）第四条第二項に規定する品種</t>
  </si>
  <si>
    <t>33 熱供給業用設備</t>
  </si>
  <si>
    <t>34 水道業用設備</t>
  </si>
  <si>
    <t>35 通信業用設備</t>
  </si>
  <si>
    <t>36 放送業用設備</t>
  </si>
  <si>
    <t>37 映像、音声又は文字情報制作業用設備</t>
  </si>
  <si>
    <t>39 道路貨物運送業用設備</t>
  </si>
  <si>
    <t>40 倉庫業用設備</t>
  </si>
  <si>
    <t>41 運輸に附帯するサービス業用設備</t>
  </si>
  <si>
    <t>42 飲食料品卸売業用設備</t>
  </si>
  <si>
    <t>44 飲食料品小売業用設備</t>
  </si>
  <si>
    <t>47 宿泊業用設備</t>
  </si>
  <si>
    <t>48 飲食店業用設備</t>
  </si>
  <si>
    <t>49 洗濯業、理容業、美容業又は浴場業用設備</t>
  </si>
  <si>
    <t>50 その他の生活関連サービス業用設備</t>
  </si>
  <si>
    <t>53 自動車整備業用設備</t>
  </si>
  <si>
    <t>54 その他のサービス業用設備</t>
  </si>
  <si>
    <t>別表第五　機械及び装置／公害防止用減価償却資産</t>
  </si>
  <si>
    <t>別表第六　ソフトウエア／開発研究用減価償却資産</t>
  </si>
  <si>
    <t>営業権</t>
  </si>
  <si>
    <t>専用側線利用権</t>
  </si>
  <si>
    <t>鉄道軌道連絡通行施設利用権</t>
  </si>
  <si>
    <t>電気ガス供給施設利用権</t>
  </si>
  <si>
    <t>水道施設利用権</t>
  </si>
  <si>
    <t>工業用水道施設利用権</t>
  </si>
  <si>
    <t>電気通信施設利用権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</si>
</sst>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General&quot;年&quot;&quot;目&quot;"/>
    <numFmt numFmtId="177" formatCode="0_);[Red]\(0\)"/>
  </numFmts>
  <fonts count="40">
    <font>
      <sz val="11"/>
      <color theme="1"/>
      <name val="Meiryo UI"/>
      <family val="2"/>
      <scheme val="minor"/>
    </font>
    <font>
      <sz val="11"/>
      <color theme="1"/>
      <name val="Meiryo UI"/>
      <family val="2"/>
      <scheme val="minor"/>
    </font>
    <font>
      <sz val="6"/>
      <name val="Meiryo UI"/>
      <family val="3"/>
      <charset val="128"/>
      <scheme val="minor"/>
    </font>
    <font>
      <sz val="11"/>
      <color theme="1"/>
      <name val="Meiryo UI"/>
      <family val="3"/>
      <charset val="128"/>
    </font>
    <font>
      <b/>
      <sz val="16"/>
      <color theme="0"/>
      <name val="Meiryo UI"/>
      <family val="3"/>
      <charset val="128"/>
    </font>
    <font>
      <sz val="16"/>
      <color theme="1"/>
      <name val="Meiryo UI"/>
      <family val="3"/>
      <charset val="128"/>
    </font>
    <font>
      <b/>
      <vertAlign val="superscript"/>
      <sz val="16"/>
      <color theme="0"/>
      <name val="Meiryo UI"/>
      <family val="3"/>
      <charset val="128"/>
    </font>
    <font>
      <sz val="11"/>
      <color theme="1" tint="0.249977111117893"/>
      <name val="Meiryo UI"/>
      <family val="3"/>
      <charset val="128"/>
    </font>
    <font>
      <sz val="11"/>
      <color theme="0" tint="-0.14999847407452621"/>
      <name val="Meiryo UI"/>
      <family val="3"/>
      <charset val="128"/>
    </font>
    <font>
      <sz val="16"/>
      <color rgb="FF0070C0"/>
      <name val="Meiryo UI"/>
      <family val="3"/>
      <charset val="128"/>
    </font>
    <font>
      <b/>
      <sz val="16"/>
      <color rgb="FF0070C0"/>
      <name val="Meiryo UI"/>
      <family val="3"/>
      <charset val="128"/>
    </font>
    <font>
      <b/>
      <sz val="16"/>
      <color theme="1" tint="0.249977111117893"/>
      <name val="Meiryo UI"/>
      <family val="3"/>
      <charset val="128"/>
    </font>
    <font>
      <sz val="16"/>
      <color theme="0"/>
      <name val="Meiryo UI"/>
      <family val="3"/>
      <charset val="128"/>
    </font>
    <font>
      <sz val="16"/>
      <name val="Meiryo UI"/>
      <family val="3"/>
      <charset val="128"/>
    </font>
    <font>
      <b/>
      <sz val="12"/>
      <color theme="4" tint="0.79998168889431442"/>
      <name val="Meiryo UI"/>
      <family val="3"/>
      <charset val="128"/>
    </font>
    <font>
      <sz val="11"/>
      <color rgb="FF0070C0"/>
      <name val="Meiryo UI"/>
      <family val="3"/>
      <charset val="128"/>
    </font>
    <font>
      <sz val="11"/>
      <color theme="0"/>
      <name val="Meiryo UI"/>
      <family val="3"/>
      <charset val="128"/>
    </font>
    <font>
      <b/>
      <sz val="11"/>
      <color theme="0"/>
      <name val="Meiryo UI"/>
      <family val="3"/>
      <charset val="128"/>
    </font>
    <font>
      <b/>
      <sz val="16"/>
      <name val="Meiryo UI"/>
      <family val="3"/>
      <charset val="128"/>
    </font>
    <font>
      <sz val="11"/>
      <name val="Meiryo UI"/>
      <family val="3"/>
      <charset val="128"/>
    </font>
    <font>
      <b/>
      <sz val="11"/>
      <color theme="1"/>
      <name val="Meiryo UI"/>
      <family val="3"/>
      <charset val="128"/>
    </font>
    <font>
      <sz val="11"/>
      <color theme="4"/>
      <name val="Meiryo UI"/>
      <family val="3"/>
      <charset val="128"/>
      <scheme val="minor"/>
    </font>
    <font>
      <b/>
      <sz val="14"/>
      <color theme="0"/>
      <name val="Meiryo UI"/>
      <family val="3"/>
      <charset val="128"/>
      <scheme val="minor"/>
    </font>
    <font>
      <sz val="11"/>
      <color theme="0"/>
      <name val="Meiryo UI"/>
      <family val="3"/>
      <charset val="128"/>
      <scheme val="minor"/>
    </font>
    <font>
      <b/>
      <sz val="11"/>
      <color theme="0"/>
      <name val="Meiryo UI"/>
      <family val="3"/>
      <charset val="128"/>
      <scheme val="minor"/>
    </font>
    <font>
      <b/>
      <sz val="14"/>
      <color theme="4"/>
      <name val="Meiryo UI"/>
      <family val="3"/>
      <charset val="128"/>
    </font>
    <font>
      <sz val="6"/>
      <name val="Meiryo UI"/>
      <family val="2"/>
      <charset val="128"/>
      <scheme val="minor"/>
    </font>
    <font>
      <b/>
      <sz val="11"/>
      <color theme="1" tint="0.249977111117893"/>
      <name val="Meiryo UI"/>
      <family val="3"/>
      <charset val="128"/>
      <scheme val="minor"/>
    </font>
    <font>
      <sz val="11"/>
      <color theme="1" tint="0.249977111117893"/>
      <name val="Meiryo UI"/>
      <family val="3"/>
      <charset val="128"/>
      <scheme val="minor"/>
    </font>
    <font>
      <sz val="11"/>
      <name val="Meiryo UI"/>
      <family val="3"/>
      <charset val="128"/>
      <scheme val="minor"/>
    </font>
    <font>
      <b/>
      <sz val="11"/>
      <color theme="4"/>
      <name val="Meiryo UI"/>
      <family val="3"/>
      <charset val="128"/>
      <scheme val="minor"/>
    </font>
    <font>
      <sz val="11"/>
      <color rgb="FF0070C0"/>
      <name val="Meiryo UI"/>
      <family val="2"/>
      <scheme val="minor"/>
    </font>
    <font>
      <sz val="11"/>
      <color theme="1" tint="0.499984740745262"/>
      <name val="Meiryo UI"/>
      <family val="2"/>
      <scheme val="minor"/>
    </font>
    <font>
      <sz val="11"/>
      <color theme="1" tint="0.499984740745262"/>
      <name val="Meiryo UI"/>
      <family val="3"/>
      <charset val="128"/>
      <scheme val="minor"/>
    </font>
    <font>
      <b/>
      <sz val="11"/>
      <color theme="4"/>
      <name val="Meiryo UI"/>
      <family val="3"/>
      <charset val="128"/>
    </font>
    <font>
      <b/>
      <sz val="11"/>
      <color theme="1"/>
      <name val="Meiryo UI"/>
      <family val="3"/>
      <charset val="128"/>
      <scheme val="minor"/>
    </font>
    <font>
      <sz val="12"/>
      <color rgb="FFFFFFFF"/>
      <name val="Segoe UI"/>
      <family val="2"/>
    </font>
    <font>
      <b/>
      <sz val="11"/>
      <name val="Meiryo UI"/>
      <family val="3"/>
      <charset val="128"/>
    </font>
    <font>
      <b/>
      <sz val="16"/>
      <color theme="4"/>
      <name val="Meiryo UI"/>
      <family val="3"/>
      <charset val="128"/>
    </font>
    <font>
      <b/>
      <sz val="11"/>
      <color theme="4"/>
      <name val="Meiryo UI"/>
      <family val="3"/>
      <charset val="128"/>
      <scheme val="major"/>
    </font>
  </fonts>
  <fills count="10">
    <fill>
      <patternFill patternType="none"/>
    </fill>
    <fill>
      <patternFill patternType="gray125"/>
    </fill>
    <fill>
      <patternFill patternType="solid">
        <fgColor theme="0" tint="-0.34998626667073579"/>
        <bgColor indexed="64"/>
      </patternFill>
    </fill>
    <fill>
      <patternFill patternType="solid">
        <fgColor theme="0"/>
        <bgColor indexed="64"/>
      </patternFill>
    </fill>
    <fill>
      <patternFill patternType="solid">
        <fgColor theme="4"/>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rgb="FFFEECF5"/>
        <bgColor indexed="64"/>
      </patternFill>
    </fill>
  </fills>
  <borders count="41">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double">
        <color auto="1"/>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ck">
        <color theme="1" tint="0.24994659260841701"/>
      </left>
      <right style="thin">
        <color theme="0" tint="-0.34998626667073579"/>
      </right>
      <top style="thick">
        <color theme="1" tint="0.24994659260841701"/>
      </top>
      <bottom style="thin">
        <color theme="0" tint="-0.34998626667073579"/>
      </bottom>
      <diagonal/>
    </border>
    <border>
      <left style="thin">
        <color theme="0" tint="-0.34998626667073579"/>
      </left>
      <right style="thin">
        <color theme="0" tint="-0.34998626667073579"/>
      </right>
      <top style="thick">
        <color theme="1" tint="0.24994659260841701"/>
      </top>
      <bottom style="thin">
        <color theme="0" tint="-0.34998626667073579"/>
      </bottom>
      <diagonal/>
    </border>
    <border>
      <left style="thin">
        <color theme="0" tint="-0.34998626667073579"/>
      </left>
      <right style="thick">
        <color theme="1" tint="0.24994659260841701"/>
      </right>
      <top style="thick">
        <color theme="1" tint="0.24994659260841701"/>
      </top>
      <bottom style="thin">
        <color theme="0" tint="-0.34998626667073579"/>
      </bottom>
      <diagonal/>
    </border>
    <border>
      <left style="thick">
        <color theme="1" tint="0.24994659260841701"/>
      </left>
      <right style="thin">
        <color theme="0" tint="-0.34998626667073579"/>
      </right>
      <top style="thin">
        <color theme="0" tint="-0.34998626667073579"/>
      </top>
      <bottom style="thin">
        <color theme="0" tint="-0.34998626667073579"/>
      </bottom>
      <diagonal/>
    </border>
    <border>
      <left style="thin">
        <color theme="0" tint="-0.34998626667073579"/>
      </left>
      <right style="thick">
        <color theme="1" tint="0.24994659260841701"/>
      </right>
      <top style="thin">
        <color theme="0" tint="-0.34998626667073579"/>
      </top>
      <bottom style="thin">
        <color theme="0" tint="-0.34998626667073579"/>
      </bottom>
      <diagonal/>
    </border>
    <border>
      <left style="thick">
        <color theme="1" tint="0.24994659260841701"/>
      </left>
      <right style="thin">
        <color theme="0" tint="-0.34998626667073579"/>
      </right>
      <top style="thin">
        <color theme="0" tint="-0.34998626667073579"/>
      </top>
      <bottom style="thick">
        <color theme="1" tint="0.24994659260841701"/>
      </bottom>
      <diagonal/>
    </border>
    <border>
      <left style="thin">
        <color theme="0" tint="-0.34998626667073579"/>
      </left>
      <right style="thin">
        <color theme="0" tint="-0.34998626667073579"/>
      </right>
      <top style="thin">
        <color theme="0" tint="-0.34998626667073579"/>
      </top>
      <bottom style="thick">
        <color theme="1" tint="0.24994659260841701"/>
      </bottom>
      <diagonal/>
    </border>
    <border>
      <left style="thin">
        <color theme="0" tint="-0.34998626667073579"/>
      </left>
      <right style="thick">
        <color theme="1" tint="0.24994659260841701"/>
      </right>
      <top style="thin">
        <color theme="0" tint="-0.34998626667073579"/>
      </top>
      <bottom style="thick">
        <color theme="1" tint="0.24994659260841701"/>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ck">
        <color theme="1" tint="0.24994659260841701"/>
      </top>
      <bottom style="thin">
        <color theme="0" tint="-0.34998626667073579"/>
      </bottom>
      <diagonal/>
    </border>
    <border>
      <left style="thin">
        <color theme="0" tint="-0.34998626667073579"/>
      </left>
      <right/>
      <top style="thin">
        <color theme="0" tint="-0.34998626667073579"/>
      </top>
      <bottom style="thick">
        <color theme="1" tint="0.24994659260841701"/>
      </bottom>
      <diagonal/>
    </border>
    <border>
      <left style="thick">
        <color theme="1" tint="0.24994659260841701"/>
      </left>
      <right style="thick">
        <color theme="1" tint="0.24994659260841701"/>
      </right>
      <top style="thin">
        <color theme="0" tint="-0.34998626667073579"/>
      </top>
      <bottom style="thin">
        <color theme="0" tint="-0.34998626667073579"/>
      </bottom>
      <diagonal/>
    </border>
    <border>
      <left/>
      <right style="thin">
        <color theme="0" tint="-0.34998626667073579"/>
      </right>
      <top style="thick">
        <color theme="1" tint="0.24994659260841701"/>
      </top>
      <bottom style="thin">
        <color theme="0" tint="-0.34998626667073579"/>
      </bottom>
      <diagonal/>
    </border>
    <border>
      <left/>
      <right style="thin">
        <color theme="0" tint="-0.34998626667073579"/>
      </right>
      <top style="thin">
        <color theme="0" tint="-0.34998626667073579"/>
      </top>
      <bottom style="thick">
        <color theme="1" tint="0.24994659260841701"/>
      </bottom>
      <diagonal/>
    </border>
    <border>
      <left style="thick">
        <color theme="1" tint="0.24994659260841701"/>
      </left>
      <right/>
      <top style="thick">
        <color theme="1" tint="0.24994659260841701"/>
      </top>
      <bottom style="thin">
        <color theme="0" tint="-0.34998626667073579"/>
      </bottom>
      <diagonal/>
    </border>
    <border>
      <left style="thick">
        <color theme="1" tint="0.24994659260841701"/>
      </left>
      <right/>
      <top style="thin">
        <color theme="0" tint="-0.34998626667073579"/>
      </top>
      <bottom style="thin">
        <color theme="0" tint="-0.34998626667073579"/>
      </bottom>
      <diagonal/>
    </border>
    <border>
      <left style="thick">
        <color theme="1" tint="0.24994659260841701"/>
      </left>
      <right/>
      <top style="thin">
        <color theme="0" tint="-0.34998626667073579"/>
      </top>
      <bottom style="thick">
        <color theme="1" tint="0.24994659260841701"/>
      </bottom>
      <diagonal/>
    </border>
    <border>
      <left/>
      <right/>
      <top style="thick">
        <color theme="1" tint="0.24994659260841701"/>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style="thick">
        <color theme="1" tint="0.24994659260841701"/>
      </bottom>
      <diagonal/>
    </border>
    <border>
      <left/>
      <right/>
      <top/>
      <bottom style="thin">
        <color theme="0" tint="-0.34998626667073579"/>
      </bottom>
      <diagonal/>
    </border>
    <border>
      <left/>
      <right style="thick">
        <color theme="1" tint="0.24994659260841701"/>
      </right>
      <top style="thin">
        <color theme="0" tint="-0.34998626667073579"/>
      </top>
      <bottom style="thin">
        <color theme="0" tint="-0.34998626667073579"/>
      </bottom>
      <diagonal/>
    </border>
    <border>
      <left style="thick">
        <color theme="1" tint="0.24994659260841701"/>
      </left>
      <right style="thin">
        <color theme="0" tint="-0.34998626667073579"/>
      </right>
      <top style="thick">
        <color theme="1" tint="0.24994659260841701"/>
      </top>
      <bottom style="thick">
        <color theme="1" tint="0.24994659260841701"/>
      </bottom>
      <diagonal/>
    </border>
    <border>
      <left style="thin">
        <color theme="0" tint="-0.34998626667073579"/>
      </left>
      <right style="thick">
        <color theme="1" tint="0.24994659260841701"/>
      </right>
      <top style="thick">
        <color theme="1" tint="0.24994659260841701"/>
      </top>
      <bottom style="thick">
        <color theme="1" tint="0.24994659260841701"/>
      </bottom>
      <diagonal/>
    </border>
    <border>
      <left style="thin">
        <color theme="0" tint="-0.34998626667073579"/>
      </left>
      <right style="thin">
        <color theme="0" tint="-0.34998626667073579"/>
      </right>
      <top style="thick">
        <color theme="1" tint="0.24994659260841701"/>
      </top>
      <bottom style="thick">
        <color theme="1" tint="0.24994659260841701"/>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ck">
        <color theme="1" tint="0.24994659260841701"/>
      </left>
      <right/>
      <top style="thick">
        <color theme="1" tint="0.24994659260841701"/>
      </top>
      <bottom style="thick">
        <color theme="1" tint="0.24994659260841701"/>
      </bottom>
      <diagonal/>
    </border>
    <border>
      <left style="thick">
        <color theme="1" tint="0.24994659260841701"/>
      </left>
      <right style="thick">
        <color theme="1" tint="0.24994659260841701"/>
      </right>
      <top style="thick">
        <color theme="1" tint="0.24994659260841701"/>
      </top>
      <bottom style="thin">
        <color theme="0" tint="-0.34998626667073579"/>
      </bottom>
      <diagonal/>
    </border>
    <border>
      <left style="thick">
        <color theme="1" tint="0.24994659260841701"/>
      </left>
      <right style="thick">
        <color theme="1" tint="0.24994659260841701"/>
      </right>
      <top style="thin">
        <color theme="0" tint="-0.34998626667073579"/>
      </top>
      <bottom style="thick">
        <color theme="1" tint="0.24994659260841701"/>
      </bottom>
      <diagonal/>
    </border>
    <border>
      <left style="thin">
        <color theme="0" tint="-0.34998626667073579"/>
      </left>
      <right style="thin">
        <color theme="0" tint="-0.34998626667073579"/>
      </right>
      <top/>
      <bottom/>
      <diagonal/>
    </border>
    <border>
      <left/>
      <right style="thin">
        <color theme="0" tint="-0.34998626667073579"/>
      </right>
      <top style="thin">
        <color theme="0" tint="-0.34998626667073579"/>
      </top>
      <bottom/>
      <diagonal/>
    </border>
    <border>
      <left/>
      <right/>
      <top style="thick">
        <color theme="1" tint="0.24994659260841701"/>
      </top>
      <bottom style="thick">
        <color theme="1" tint="0.24994659260841701"/>
      </bottom>
      <diagonal/>
    </border>
    <border>
      <left/>
      <right style="thick">
        <color theme="1" tint="0.24994659260841701"/>
      </right>
      <top style="thick">
        <color theme="1" tint="0.24994659260841701"/>
      </top>
      <bottom style="thick">
        <color theme="1" tint="0.24994659260841701"/>
      </bottom>
      <diagonal/>
    </border>
    <border>
      <left/>
      <right style="thin">
        <color theme="0" tint="-0.34998626667073579"/>
      </right>
      <top/>
      <bottom/>
      <diagonal/>
    </border>
  </borders>
  <cellStyleXfs count="2">
    <xf numFmtId="0" fontId="0" fillId="0" borderId="0"/>
    <xf numFmtId="38" fontId="1" fillId="0" borderId="0" applyFont="0" applyFill="0" applyBorder="0" applyAlignment="0" applyProtection="0">
      <alignment vertical="center"/>
    </xf>
  </cellStyleXfs>
  <cellXfs count="197">
    <xf numFmtId="0" fontId="0" fillId="0" borderId="0" xfId="0"/>
    <xf numFmtId="0" fontId="3" fillId="0" borderId="0" xfId="0" applyFont="1" applyAlignment="1">
      <alignment vertical="center"/>
    </xf>
    <xf numFmtId="0" fontId="3" fillId="2" borderId="0" xfId="0" applyFont="1" applyFill="1" applyAlignment="1">
      <alignment vertical="center"/>
    </xf>
    <xf numFmtId="0" fontId="4" fillId="4" borderId="1" xfId="0" applyFont="1" applyFill="1" applyBorder="1" applyAlignment="1">
      <alignment horizontal="center" vertical="center"/>
    </xf>
    <xf numFmtId="0" fontId="7" fillId="2" borderId="0" xfId="0" applyFont="1" applyFill="1" applyAlignment="1">
      <alignment horizontal="center" vertical="center"/>
    </xf>
    <xf numFmtId="0" fontId="7" fillId="2" borderId="0" xfId="0" applyFont="1" applyFill="1" applyAlignment="1">
      <alignment vertical="center"/>
    </xf>
    <xf numFmtId="0" fontId="3" fillId="0" borderId="2" xfId="0" applyFont="1" applyBorder="1" applyAlignment="1">
      <alignment vertical="center"/>
    </xf>
    <xf numFmtId="0" fontId="4" fillId="4" borderId="4" xfId="0" applyFont="1" applyFill="1" applyBorder="1" applyAlignment="1">
      <alignment vertical="center"/>
    </xf>
    <xf numFmtId="0" fontId="4" fillId="4" borderId="4" xfId="0" applyFont="1" applyFill="1" applyBorder="1" applyAlignment="1">
      <alignment vertical="center" wrapText="1"/>
    </xf>
    <xf numFmtId="0" fontId="8" fillId="0" borderId="0" xfId="0" applyFont="1" applyAlignment="1">
      <alignment vertical="center"/>
    </xf>
    <xf numFmtId="0" fontId="8" fillId="0" borderId="2" xfId="0" applyFont="1" applyBorder="1" applyAlignment="1">
      <alignment vertical="center"/>
    </xf>
    <xf numFmtId="0" fontId="4" fillId="4" borderId="4" xfId="0" applyFont="1" applyFill="1" applyBorder="1" applyAlignment="1">
      <alignment horizontal="center" vertical="center"/>
    </xf>
    <xf numFmtId="0" fontId="4" fillId="4" borderId="13" xfId="0" applyFont="1" applyFill="1" applyBorder="1" applyAlignment="1">
      <alignment horizontal="center" vertical="center"/>
    </xf>
    <xf numFmtId="0" fontId="4" fillId="4" borderId="3" xfId="0" applyFont="1" applyFill="1" applyBorder="1" applyAlignment="1">
      <alignment vertical="center"/>
    </xf>
    <xf numFmtId="0" fontId="4" fillId="4" borderId="14" xfId="0" applyFont="1" applyFill="1" applyBorder="1" applyAlignment="1">
      <alignment vertical="center"/>
    </xf>
    <xf numFmtId="0" fontId="4" fillId="4" borderId="14" xfId="0" applyFont="1" applyFill="1" applyBorder="1" applyAlignment="1">
      <alignment vertical="center" wrapText="1"/>
    </xf>
    <xf numFmtId="38" fontId="9" fillId="5" borderId="1" xfId="1" applyFont="1" applyFill="1" applyBorder="1" applyAlignment="1">
      <alignment horizontal="right" vertical="center"/>
    </xf>
    <xf numFmtId="38" fontId="9" fillId="5" borderId="17" xfId="1" applyFont="1" applyFill="1" applyBorder="1" applyAlignment="1">
      <alignment horizontal="right" vertical="center"/>
    </xf>
    <xf numFmtId="38" fontId="9" fillId="5" borderId="8" xfId="1" applyFont="1" applyFill="1" applyBorder="1" applyAlignment="1">
      <alignment horizontal="right" vertical="center"/>
    </xf>
    <xf numFmtId="0" fontId="5" fillId="6" borderId="3" xfId="0" applyFont="1" applyFill="1" applyBorder="1" applyAlignment="1">
      <alignment horizontal="center" vertical="center"/>
    </xf>
    <xf numFmtId="14" fontId="9" fillId="5" borderId="9" xfId="1" applyNumberFormat="1" applyFont="1" applyFill="1" applyBorder="1" applyAlignment="1">
      <alignment horizontal="right" vertical="center"/>
    </xf>
    <xf numFmtId="38" fontId="9" fillId="5" borderId="27" xfId="1" applyFont="1" applyFill="1" applyBorder="1" applyAlignment="1">
      <alignment horizontal="right" vertical="center"/>
    </xf>
    <xf numFmtId="0" fontId="9" fillId="5" borderId="8" xfId="0" applyFont="1" applyFill="1" applyBorder="1" applyAlignment="1">
      <alignment horizontal="right" vertical="center"/>
    </xf>
    <xf numFmtId="0" fontId="4" fillId="4" borderId="4" xfId="0" applyFont="1" applyFill="1" applyBorder="1" applyAlignment="1">
      <alignment horizontal="center" vertical="center" wrapText="1"/>
    </xf>
    <xf numFmtId="14" fontId="3" fillId="2" borderId="0" xfId="0" applyNumberFormat="1" applyFont="1" applyFill="1" applyAlignment="1">
      <alignment vertical="center"/>
    </xf>
    <xf numFmtId="0" fontId="4" fillId="4" borderId="31" xfId="0" applyFont="1" applyFill="1" applyBorder="1" applyAlignment="1">
      <alignment horizontal="center" vertical="center"/>
    </xf>
    <xf numFmtId="0" fontId="12" fillId="4" borderId="26" xfId="0" applyFont="1" applyFill="1" applyBorder="1" applyAlignment="1">
      <alignment vertical="center"/>
    </xf>
    <xf numFmtId="0" fontId="12" fillId="4" borderId="26" xfId="0" applyFont="1" applyFill="1" applyBorder="1" applyAlignment="1">
      <alignment horizontal="right" vertical="center"/>
    </xf>
    <xf numFmtId="14" fontId="9" fillId="4" borderId="26" xfId="1" applyNumberFormat="1" applyFont="1" applyFill="1" applyBorder="1" applyAlignment="1">
      <alignment horizontal="right" vertical="center"/>
    </xf>
    <xf numFmtId="0" fontId="5" fillId="4" borderId="26" xfId="1" applyNumberFormat="1" applyFont="1" applyFill="1" applyBorder="1" applyAlignment="1">
      <alignment vertical="center"/>
    </xf>
    <xf numFmtId="38" fontId="5" fillId="4" borderId="26" xfId="1" applyFont="1" applyFill="1" applyBorder="1" applyAlignment="1">
      <alignment vertical="center"/>
    </xf>
    <xf numFmtId="38" fontId="10" fillId="5" borderId="32" xfId="1" applyFont="1" applyFill="1" applyBorder="1" applyAlignment="1">
      <alignment horizontal="right" vertical="center"/>
    </xf>
    <xf numFmtId="38" fontId="11" fillId="4" borderId="18" xfId="1" applyFont="1" applyFill="1" applyBorder="1" applyAlignment="1">
      <alignment horizontal="right" vertical="center"/>
    </xf>
    <xf numFmtId="0" fontId="12" fillId="4" borderId="32" xfId="0" applyFont="1" applyFill="1" applyBorder="1" applyAlignment="1">
      <alignment vertical="center"/>
    </xf>
    <xf numFmtId="38" fontId="10" fillId="5" borderId="6" xfId="1" applyFont="1" applyFill="1" applyBorder="1" applyAlignment="1">
      <alignment vertical="center"/>
    </xf>
    <xf numFmtId="38" fontId="9" fillId="4" borderId="26" xfId="1" applyFont="1" applyFill="1" applyBorder="1" applyAlignment="1">
      <alignment horizontal="right" vertical="center"/>
    </xf>
    <xf numFmtId="38" fontId="10" fillId="4" borderId="24" xfId="1" applyFont="1" applyFill="1" applyBorder="1" applyAlignment="1">
      <alignment horizontal="right" vertical="center"/>
    </xf>
    <xf numFmtId="38" fontId="10" fillId="4" borderId="26" xfId="1" applyFont="1" applyFill="1" applyBorder="1" applyAlignment="1">
      <alignment horizontal="right" vertical="center"/>
    </xf>
    <xf numFmtId="0" fontId="4" fillId="2" borderId="0" xfId="0" applyFont="1" applyFill="1" applyAlignment="1">
      <alignment horizontal="center" vertical="center"/>
    </xf>
    <xf numFmtId="0" fontId="9" fillId="2" borderId="0" xfId="0" applyFont="1" applyFill="1" applyAlignment="1">
      <alignment horizontal="center" vertical="center"/>
    </xf>
    <xf numFmtId="14" fontId="9" fillId="5" borderId="17" xfId="0" applyNumberFormat="1" applyFont="1" applyFill="1" applyBorder="1" applyAlignment="1">
      <alignment horizontal="center" vertical="center"/>
    </xf>
    <xf numFmtId="38" fontId="10" fillId="5" borderId="13" xfId="1" applyFont="1" applyFill="1" applyBorder="1" applyAlignment="1">
      <alignment vertical="center"/>
    </xf>
    <xf numFmtId="0" fontId="16" fillId="0" borderId="0" xfId="0" applyFont="1" applyAlignment="1">
      <alignment vertical="center"/>
    </xf>
    <xf numFmtId="0" fontId="4" fillId="4" borderId="36" xfId="0" applyFont="1" applyFill="1" applyBorder="1" applyAlignment="1">
      <alignment vertical="center"/>
    </xf>
    <xf numFmtId="0" fontId="4" fillId="4" borderId="37" xfId="0" applyFont="1" applyFill="1" applyBorder="1" applyAlignment="1">
      <alignment vertical="center" wrapText="1"/>
    </xf>
    <xf numFmtId="0" fontId="4" fillId="4" borderId="1" xfId="0" applyFont="1" applyFill="1" applyBorder="1" applyAlignment="1">
      <alignment vertical="center" wrapText="1"/>
    </xf>
    <xf numFmtId="0" fontId="9" fillId="5" borderId="14" xfId="1" applyNumberFormat="1" applyFont="1" applyFill="1" applyBorder="1" applyAlignment="1">
      <alignment vertical="center"/>
    </xf>
    <xf numFmtId="0" fontId="9" fillId="5" borderId="1" xfId="1" applyNumberFormat="1" applyFont="1" applyFill="1" applyBorder="1" applyAlignment="1">
      <alignment vertical="center"/>
    </xf>
    <xf numFmtId="0" fontId="18" fillId="2" borderId="0" xfId="0" applyFont="1" applyFill="1" applyAlignment="1">
      <alignment horizontal="center" vertical="center"/>
    </xf>
    <xf numFmtId="0" fontId="19" fillId="2" borderId="0" xfId="0" applyFont="1" applyFill="1" applyAlignment="1">
      <alignment vertical="center"/>
    </xf>
    <xf numFmtId="0" fontId="13" fillId="2" borderId="0" xfId="0" applyFont="1" applyFill="1" applyAlignment="1">
      <alignment horizontal="center" vertical="center"/>
    </xf>
    <xf numFmtId="0" fontId="17" fillId="4" borderId="1" xfId="0" applyFont="1" applyFill="1" applyBorder="1" applyAlignment="1">
      <alignment horizontal="center" vertical="center"/>
    </xf>
    <xf numFmtId="0" fontId="17" fillId="4" borderId="1" xfId="0" applyFont="1" applyFill="1" applyBorder="1" applyAlignment="1">
      <alignment vertical="center"/>
    </xf>
    <xf numFmtId="0" fontId="17" fillId="7" borderId="1" xfId="0" applyFont="1" applyFill="1" applyBorder="1" applyAlignment="1">
      <alignment vertical="center"/>
    </xf>
    <xf numFmtId="0" fontId="3" fillId="6" borderId="1" xfId="0" applyFont="1" applyFill="1" applyBorder="1" applyAlignment="1">
      <alignment horizontal="center" vertical="center"/>
    </xf>
    <xf numFmtId="0" fontId="15" fillId="5" borderId="1" xfId="0" applyFont="1" applyFill="1" applyBorder="1" applyAlignment="1">
      <alignment vertical="center"/>
    </xf>
    <xf numFmtId="38" fontId="15" fillId="5" borderId="1" xfId="1" applyFont="1" applyFill="1" applyBorder="1" applyAlignment="1">
      <alignment vertical="center"/>
    </xf>
    <xf numFmtId="38" fontId="15" fillId="5" borderId="1" xfId="1" applyFont="1" applyFill="1" applyBorder="1" applyAlignment="1">
      <alignment vertical="center" wrapText="1"/>
    </xf>
    <xf numFmtId="0" fontId="17" fillId="7" borderId="3" xfId="0" applyFont="1" applyFill="1" applyBorder="1" applyAlignment="1">
      <alignment vertical="center"/>
    </xf>
    <xf numFmtId="0" fontId="17" fillId="7" borderId="24" xfId="0" applyFont="1" applyFill="1" applyBorder="1" applyAlignment="1">
      <alignment vertical="center"/>
    </xf>
    <xf numFmtId="0" fontId="17" fillId="4" borderId="36" xfId="0" applyFont="1" applyFill="1" applyBorder="1" applyAlignment="1">
      <alignment vertical="center"/>
    </xf>
    <xf numFmtId="0" fontId="17" fillId="4" borderId="13" xfId="0" applyFont="1" applyFill="1" applyBorder="1" applyAlignment="1">
      <alignment vertical="center"/>
    </xf>
    <xf numFmtId="0" fontId="17" fillId="7" borderId="14" xfId="0" applyFont="1" applyFill="1" applyBorder="1" applyAlignment="1">
      <alignment horizontal="left" vertical="center"/>
    </xf>
    <xf numFmtId="0" fontId="17" fillId="4" borderId="3" xfId="0" applyFont="1" applyFill="1" applyBorder="1" applyAlignment="1">
      <alignment vertical="center"/>
    </xf>
    <xf numFmtId="0" fontId="17" fillId="4" borderId="14" xfId="0" applyFont="1" applyFill="1" applyBorder="1" applyAlignment="1">
      <alignment vertical="center"/>
    </xf>
    <xf numFmtId="0" fontId="0" fillId="3" borderId="0" xfId="0" applyFill="1" applyAlignment="1">
      <alignment vertical="center"/>
    </xf>
    <xf numFmtId="0" fontId="21" fillId="3" borderId="0" xfId="0" applyFont="1" applyFill="1" applyAlignment="1">
      <alignment vertical="center"/>
    </xf>
    <xf numFmtId="0" fontId="0" fillId="2" borderId="0" xfId="0" applyFill="1" applyAlignment="1">
      <alignment vertical="center"/>
    </xf>
    <xf numFmtId="0" fontId="22" fillId="4" borderId="0" xfId="0" applyFont="1" applyFill="1" applyAlignment="1">
      <alignment vertical="center"/>
    </xf>
    <xf numFmtId="0" fontId="23" fillId="4" borderId="0" xfId="0" applyFont="1" applyFill="1" applyAlignment="1">
      <alignment vertical="center"/>
    </xf>
    <xf numFmtId="0" fontId="21" fillId="0" borderId="0" xfId="0" applyFont="1" applyAlignment="1">
      <alignment vertical="center"/>
    </xf>
    <xf numFmtId="0" fontId="0" fillId="0" borderId="0" xfId="0" applyAlignment="1">
      <alignment vertical="center"/>
    </xf>
    <xf numFmtId="0" fontId="24" fillId="3" borderId="0" xfId="0" applyFont="1" applyFill="1" applyAlignment="1">
      <alignment vertical="center"/>
    </xf>
    <xf numFmtId="0" fontId="23" fillId="3" borderId="0" xfId="0" applyFont="1" applyFill="1" applyAlignment="1">
      <alignment vertical="center"/>
    </xf>
    <xf numFmtId="0" fontId="3" fillId="3" borderId="0" xfId="0" applyFont="1" applyFill="1" applyAlignment="1">
      <alignment vertical="center"/>
    </xf>
    <xf numFmtId="0" fontId="25" fillId="3" borderId="0" xfId="0" applyFont="1" applyFill="1" applyAlignment="1">
      <alignment vertical="center"/>
    </xf>
    <xf numFmtId="0" fontId="27" fillId="8" borderId="0" xfId="0" applyFont="1" applyFill="1" applyAlignment="1">
      <alignment vertical="center"/>
    </xf>
    <xf numFmtId="0" fontId="28" fillId="8" borderId="0" xfId="0" applyFont="1" applyFill="1" applyAlignment="1">
      <alignment vertical="center"/>
    </xf>
    <xf numFmtId="0" fontId="0" fillId="0" borderId="33" xfId="0" applyBorder="1" applyAlignment="1">
      <alignment vertical="center"/>
    </xf>
    <xf numFmtId="0" fontId="0" fillId="0" borderId="38" xfId="0" applyBorder="1" applyAlignment="1">
      <alignment vertical="center"/>
    </xf>
    <xf numFmtId="0" fontId="0" fillId="0" borderId="39" xfId="0" applyBorder="1" applyAlignment="1">
      <alignment vertical="center"/>
    </xf>
    <xf numFmtId="0" fontId="31" fillId="5" borderId="3" xfId="0" applyFont="1" applyFill="1" applyBorder="1" applyAlignment="1">
      <alignment horizontal="centerContinuous" vertical="center"/>
    </xf>
    <xf numFmtId="0" fontId="0" fillId="5" borderId="24" xfId="0" applyFill="1" applyBorder="1" applyAlignment="1">
      <alignment horizontal="centerContinuous" vertical="center"/>
    </xf>
    <xf numFmtId="0" fontId="0" fillId="5" borderId="14" xfId="0" applyFill="1" applyBorder="1" applyAlignment="1">
      <alignment horizontal="centerContinuous" vertical="center"/>
    </xf>
    <xf numFmtId="0" fontId="30" fillId="9" borderId="0" xfId="0" applyFont="1" applyFill="1" applyAlignment="1">
      <alignment vertical="center"/>
    </xf>
    <xf numFmtId="0" fontId="21" fillId="9" borderId="0" xfId="0" applyFont="1" applyFill="1" applyAlignment="1">
      <alignment vertical="center"/>
    </xf>
    <xf numFmtId="0" fontId="30" fillId="0" borderId="0" xfId="0" quotePrefix="1" applyFont="1" applyAlignment="1">
      <alignment horizontal="right" vertical="center"/>
    </xf>
    <xf numFmtId="0" fontId="32" fillId="0" borderId="0" xfId="0" applyFont="1" applyAlignment="1">
      <alignment horizontal="right" vertical="center"/>
    </xf>
    <xf numFmtId="0" fontId="33" fillId="0" borderId="0" xfId="0" applyFont="1" applyAlignment="1">
      <alignment vertical="center"/>
    </xf>
    <xf numFmtId="0" fontId="0" fillId="0" borderId="0" xfId="0" quotePrefix="1" applyAlignment="1">
      <alignment vertical="center"/>
    </xf>
    <xf numFmtId="0" fontId="33" fillId="0" borderId="0" xfId="0" applyFont="1" applyAlignment="1">
      <alignment horizontal="right" vertical="center"/>
    </xf>
    <xf numFmtId="0" fontId="30" fillId="0" borderId="0" xfId="0" quotePrefix="1" applyFont="1" applyAlignment="1">
      <alignment vertical="center"/>
    </xf>
    <xf numFmtId="0" fontId="0" fillId="0" borderId="0" xfId="0" applyAlignment="1">
      <alignment horizontal="right" vertical="center"/>
    </xf>
    <xf numFmtId="0" fontId="32" fillId="3" borderId="0" xfId="0" applyFont="1" applyFill="1" applyAlignment="1">
      <alignment horizontal="right" vertical="center"/>
    </xf>
    <xf numFmtId="0" fontId="32" fillId="3" borderId="0" xfId="0" quotePrefix="1" applyFont="1" applyFill="1" applyAlignment="1">
      <alignment horizontal="right" vertical="center"/>
    </xf>
    <xf numFmtId="0" fontId="33" fillId="3" borderId="0" xfId="0" quotePrefix="1" applyFont="1" applyFill="1" applyAlignment="1">
      <alignment vertical="center"/>
    </xf>
    <xf numFmtId="0" fontId="21" fillId="2" borderId="0" xfId="0" applyFont="1" applyFill="1" applyAlignment="1">
      <alignment vertical="center"/>
    </xf>
    <xf numFmtId="176" fontId="17" fillId="7" borderId="3" xfId="0" applyNumberFormat="1" applyFont="1" applyFill="1" applyBorder="1" applyAlignment="1">
      <alignment horizontal="left" vertical="center"/>
    </xf>
    <xf numFmtId="38" fontId="3" fillId="0" borderId="0" xfId="0" applyNumberFormat="1" applyFont="1" applyAlignment="1">
      <alignment vertical="center"/>
    </xf>
    <xf numFmtId="0" fontId="19" fillId="0" borderId="2" xfId="0" applyFont="1" applyBorder="1" applyAlignment="1">
      <alignment vertical="center"/>
    </xf>
    <xf numFmtId="0" fontId="19" fillId="0" borderId="0" xfId="0" applyFont="1" applyAlignment="1">
      <alignment vertical="center"/>
    </xf>
    <xf numFmtId="14" fontId="15" fillId="5" borderId="1" xfId="1" applyNumberFormat="1" applyFont="1" applyFill="1" applyBorder="1" applyAlignment="1">
      <alignment vertical="center"/>
    </xf>
    <xf numFmtId="177" fontId="15" fillId="5" borderId="1" xfId="1" applyNumberFormat="1" applyFont="1" applyFill="1" applyBorder="1" applyAlignment="1">
      <alignment vertical="center"/>
    </xf>
    <xf numFmtId="0" fontId="36" fillId="0" borderId="0" xfId="0" applyFont="1"/>
    <xf numFmtId="0" fontId="17" fillId="7" borderId="1" xfId="0" applyFont="1" applyFill="1" applyBorder="1" applyAlignment="1">
      <alignment vertical="center" wrapText="1"/>
    </xf>
    <xf numFmtId="0" fontId="17" fillId="7" borderId="14" xfId="0" applyFont="1" applyFill="1" applyBorder="1" applyAlignment="1">
      <alignment vertical="center"/>
    </xf>
    <xf numFmtId="0" fontId="17" fillId="7" borderId="13" xfId="0" applyFont="1" applyFill="1" applyBorder="1" applyAlignment="1">
      <alignment vertical="center" wrapText="1"/>
    </xf>
    <xf numFmtId="0" fontId="17" fillId="7" borderId="4" xfId="0" applyFont="1" applyFill="1" applyBorder="1" applyAlignment="1">
      <alignment vertical="center"/>
    </xf>
    <xf numFmtId="0" fontId="17" fillId="7" borderId="3" xfId="0" applyFont="1" applyFill="1" applyBorder="1" applyAlignment="1">
      <alignment vertical="center" wrapText="1"/>
    </xf>
    <xf numFmtId="0" fontId="17" fillId="7" borderId="13" xfId="0" applyFont="1" applyFill="1" applyBorder="1" applyAlignment="1">
      <alignment vertical="center"/>
    </xf>
    <xf numFmtId="14" fontId="3" fillId="0" borderId="0" xfId="0" applyNumberFormat="1" applyFont="1" applyAlignment="1">
      <alignment vertical="center"/>
    </xf>
    <xf numFmtId="0" fontId="37" fillId="0" borderId="0" xfId="0" applyFont="1" applyAlignment="1">
      <alignment vertical="center"/>
    </xf>
    <xf numFmtId="0" fontId="37" fillId="0" borderId="40" xfId="0" applyFont="1" applyBorder="1" applyAlignment="1">
      <alignment vertical="center"/>
    </xf>
    <xf numFmtId="0" fontId="37" fillId="0" borderId="26" xfId="0" applyFont="1" applyBorder="1" applyAlignment="1">
      <alignment vertical="center"/>
    </xf>
    <xf numFmtId="0" fontId="37" fillId="0" borderId="32" xfId="0" applyFont="1" applyBorder="1" applyAlignment="1">
      <alignment vertical="center"/>
    </xf>
    <xf numFmtId="0" fontId="15" fillId="5" borderId="1" xfId="1" applyNumberFormat="1" applyFont="1" applyFill="1" applyBorder="1" applyAlignment="1">
      <alignment vertical="center" wrapText="1"/>
    </xf>
    <xf numFmtId="0" fontId="15" fillId="5" borderId="1" xfId="1" applyNumberFormat="1" applyFont="1" applyFill="1" applyBorder="1" applyAlignment="1">
      <alignment vertical="center"/>
    </xf>
    <xf numFmtId="0" fontId="34" fillId="0" borderId="0" xfId="0" quotePrefix="1" applyFont="1" applyAlignment="1">
      <alignment horizontal="right" vertical="center"/>
    </xf>
    <xf numFmtId="0" fontId="0" fillId="5" borderId="33" xfId="0" applyFill="1" applyBorder="1" applyAlignment="1">
      <alignment vertical="center"/>
    </xf>
    <xf numFmtId="0" fontId="0" fillId="5" borderId="38" xfId="0" applyFill="1" applyBorder="1" applyAlignment="1">
      <alignment vertical="center"/>
    </xf>
    <xf numFmtId="0" fontId="0" fillId="5" borderId="39" xfId="0" applyFill="1" applyBorder="1" applyAlignment="1">
      <alignment vertical="center"/>
    </xf>
    <xf numFmtId="0" fontId="35" fillId="0" borderId="0" xfId="0" applyFont="1" applyAlignment="1">
      <alignment vertical="center"/>
    </xf>
    <xf numFmtId="0" fontId="3" fillId="0" borderId="0" xfId="0" applyFont="1" applyAlignment="1">
      <alignment horizontal="right" vertical="center"/>
    </xf>
    <xf numFmtId="0" fontId="38" fillId="5" borderId="1" xfId="0" applyFont="1" applyFill="1" applyBorder="1" applyAlignment="1">
      <alignment horizontal="center" vertical="center"/>
    </xf>
    <xf numFmtId="0" fontId="8" fillId="2" borderId="0" xfId="0" applyFont="1" applyFill="1" applyAlignment="1">
      <alignment horizontal="center" vertical="center"/>
    </xf>
    <xf numFmtId="0" fontId="9" fillId="5" borderId="21" xfId="0" applyFont="1" applyFill="1" applyBorder="1" applyAlignment="1">
      <alignment horizontal="right" vertical="center"/>
    </xf>
    <xf numFmtId="38" fontId="9" fillId="5" borderId="14" xfId="1" applyFont="1" applyFill="1" applyBorder="1" applyAlignment="1">
      <alignment horizontal="right" vertical="center"/>
    </xf>
    <xf numFmtId="0" fontId="39" fillId="0" borderId="0" xfId="0" quotePrefix="1" applyFont="1" applyAlignment="1">
      <alignment horizontal="right" vertical="center"/>
    </xf>
    <xf numFmtId="0" fontId="4" fillId="4" borderId="24" xfId="0" applyFont="1" applyFill="1" applyBorder="1" applyAlignment="1">
      <alignment vertical="center"/>
    </xf>
    <xf numFmtId="0" fontId="9" fillId="5" borderId="14" xfId="0" applyFont="1" applyFill="1" applyBorder="1" applyAlignment="1">
      <alignment horizontal="right" vertical="center"/>
    </xf>
    <xf numFmtId="0" fontId="8" fillId="2" borderId="0" xfId="0" applyFont="1" applyFill="1" applyAlignment="1">
      <alignment horizontal="center" vertical="center" wrapText="1"/>
    </xf>
    <xf numFmtId="0" fontId="9" fillId="5" borderId="17" xfId="0" applyFont="1" applyFill="1" applyBorder="1" applyAlignment="1">
      <alignment vertical="center"/>
    </xf>
    <xf numFmtId="0" fontId="5" fillId="3" borderId="5" xfId="0" applyFont="1" applyFill="1" applyBorder="1" applyAlignment="1" applyProtection="1">
      <alignment vertical="center"/>
      <protection locked="0"/>
    </xf>
    <xf numFmtId="0" fontId="5" fillId="3" borderId="6" xfId="0" applyFont="1" applyFill="1" applyBorder="1" applyAlignment="1" applyProtection="1">
      <alignment vertical="center"/>
      <protection locked="0"/>
    </xf>
    <xf numFmtId="38" fontId="5" fillId="3" borderId="15" xfId="1" applyFont="1" applyFill="1" applyBorder="1" applyAlignment="1" applyProtection="1">
      <alignment vertical="center"/>
      <protection locked="0"/>
    </xf>
    <xf numFmtId="0" fontId="5" fillId="3" borderId="8" xfId="0" applyFont="1" applyFill="1" applyBorder="1" applyAlignment="1" applyProtection="1">
      <alignment vertical="center"/>
      <protection locked="0"/>
    </xf>
    <xf numFmtId="0" fontId="5" fillId="3" borderId="1" xfId="0" applyFont="1" applyFill="1" applyBorder="1" applyAlignment="1" applyProtection="1">
      <alignment vertical="center"/>
      <protection locked="0"/>
    </xf>
    <xf numFmtId="38" fontId="5" fillId="3" borderId="3" xfId="1" applyFont="1" applyFill="1" applyBorder="1" applyAlignment="1" applyProtection="1">
      <alignment vertical="center"/>
      <protection locked="0"/>
    </xf>
    <xf numFmtId="0" fontId="5" fillId="3" borderId="10" xfId="0" applyFont="1" applyFill="1" applyBorder="1" applyAlignment="1" applyProtection="1">
      <alignment vertical="center"/>
      <protection locked="0"/>
    </xf>
    <xf numFmtId="0" fontId="5" fillId="3" borderId="11" xfId="0" applyFont="1" applyFill="1" applyBorder="1" applyAlignment="1" applyProtection="1">
      <alignment vertical="center"/>
      <protection locked="0"/>
    </xf>
    <xf numFmtId="38" fontId="5" fillId="3" borderId="16" xfId="1" applyFont="1" applyFill="1" applyBorder="1" applyAlignment="1" applyProtection="1">
      <alignment vertical="center"/>
      <protection locked="0"/>
    </xf>
    <xf numFmtId="14" fontId="5" fillId="3" borderId="18" xfId="0" applyNumberFormat="1" applyFont="1" applyFill="1" applyBorder="1" applyAlignment="1" applyProtection="1">
      <alignment vertical="center"/>
      <protection locked="0"/>
    </xf>
    <xf numFmtId="0" fontId="5" fillId="3" borderId="15" xfId="0" applyFont="1" applyFill="1" applyBorder="1" applyAlignment="1" applyProtection="1">
      <alignment vertical="center"/>
      <protection locked="0"/>
    </xf>
    <xf numFmtId="14" fontId="5" fillId="3" borderId="14" xfId="0" applyNumberFormat="1" applyFont="1" applyFill="1" applyBorder="1" applyAlignment="1" applyProtection="1">
      <alignment vertical="center"/>
      <protection locked="0"/>
    </xf>
    <xf numFmtId="0" fontId="5" fillId="3" borderId="3" xfId="0" applyFont="1" applyFill="1" applyBorder="1" applyAlignment="1" applyProtection="1">
      <alignment vertical="center"/>
      <protection locked="0"/>
    </xf>
    <xf numFmtId="14" fontId="5" fillId="3" borderId="19" xfId="0" applyNumberFormat="1" applyFont="1" applyFill="1" applyBorder="1" applyAlignment="1" applyProtection="1">
      <alignment vertical="center"/>
      <protection locked="0"/>
    </xf>
    <xf numFmtId="0" fontId="5" fillId="3" borderId="16" xfId="0" applyFont="1" applyFill="1" applyBorder="1" applyAlignment="1" applyProtection="1">
      <alignment vertical="center"/>
      <protection locked="0"/>
    </xf>
    <xf numFmtId="0" fontId="5" fillId="3" borderId="18" xfId="0" applyFont="1" applyFill="1" applyBorder="1" applyAlignment="1" applyProtection="1">
      <alignment vertical="center"/>
      <protection locked="0"/>
    </xf>
    <xf numFmtId="0" fontId="5" fillId="3" borderId="7" xfId="0" applyFont="1" applyFill="1" applyBorder="1" applyAlignment="1" applyProtection="1">
      <alignment vertical="center"/>
      <protection locked="0"/>
    </xf>
    <xf numFmtId="0" fontId="5" fillId="3" borderId="14" xfId="0" applyFont="1" applyFill="1" applyBorder="1" applyAlignment="1" applyProtection="1">
      <alignment vertical="center"/>
      <protection locked="0"/>
    </xf>
    <xf numFmtId="0" fontId="5" fillId="3" borderId="9" xfId="0" applyFont="1" applyFill="1" applyBorder="1" applyAlignment="1" applyProtection="1">
      <alignment vertical="center"/>
      <protection locked="0"/>
    </xf>
    <xf numFmtId="0" fontId="5" fillId="3" borderId="19" xfId="0" applyFont="1" applyFill="1" applyBorder="1" applyAlignment="1" applyProtection="1">
      <alignment vertical="center"/>
      <protection locked="0"/>
    </xf>
    <xf numFmtId="0" fontId="5" fillId="3" borderId="12" xfId="0" applyFont="1" applyFill="1" applyBorder="1" applyAlignment="1" applyProtection="1">
      <alignment vertical="center"/>
      <protection locked="0"/>
    </xf>
    <xf numFmtId="0" fontId="5" fillId="3" borderId="20" xfId="0" applyFont="1" applyFill="1" applyBorder="1" applyAlignment="1" applyProtection="1">
      <alignment vertical="center"/>
      <protection locked="0"/>
    </xf>
    <xf numFmtId="0" fontId="5" fillId="3" borderId="21" xfId="0" applyFont="1" applyFill="1" applyBorder="1" applyAlignment="1" applyProtection="1">
      <alignment vertical="center"/>
      <protection locked="0"/>
    </xf>
    <xf numFmtId="0" fontId="5" fillId="3" borderId="22" xfId="0" applyFont="1" applyFill="1" applyBorder="1" applyAlignment="1" applyProtection="1">
      <alignment vertical="center"/>
      <protection locked="0"/>
    </xf>
    <xf numFmtId="0" fontId="13" fillId="3" borderId="5" xfId="0" applyFont="1" applyFill="1" applyBorder="1" applyAlignment="1" applyProtection="1">
      <alignment vertical="center"/>
      <protection locked="0"/>
    </xf>
    <xf numFmtId="0" fontId="13" fillId="3" borderId="6" xfId="0" applyFont="1" applyFill="1" applyBorder="1" applyAlignment="1" applyProtection="1">
      <alignment vertical="center"/>
      <protection locked="0"/>
    </xf>
    <xf numFmtId="38" fontId="5" fillId="3" borderId="23" xfId="1" applyFont="1" applyFill="1" applyBorder="1" applyAlignment="1" applyProtection="1">
      <alignment vertical="center"/>
      <protection locked="0"/>
    </xf>
    <xf numFmtId="0" fontId="13" fillId="3" borderId="8" xfId="0" applyFont="1" applyFill="1" applyBorder="1" applyAlignment="1" applyProtection="1">
      <alignment vertical="center"/>
      <protection locked="0"/>
    </xf>
    <xf numFmtId="0" fontId="13" fillId="3" borderId="1" xfId="0" applyFont="1" applyFill="1" applyBorder="1" applyAlignment="1" applyProtection="1">
      <alignment vertical="center"/>
      <protection locked="0"/>
    </xf>
    <xf numFmtId="38" fontId="5" fillId="3" borderId="24" xfId="1" applyFont="1" applyFill="1" applyBorder="1" applyAlignment="1" applyProtection="1">
      <alignment vertical="center"/>
      <protection locked="0"/>
    </xf>
    <xf numFmtId="0" fontId="13" fillId="3" borderId="10" xfId="0" applyFont="1" applyFill="1" applyBorder="1" applyAlignment="1" applyProtection="1">
      <alignment vertical="center"/>
      <protection locked="0"/>
    </xf>
    <xf numFmtId="0" fontId="13" fillId="3" borderId="11" xfId="0" applyFont="1" applyFill="1" applyBorder="1" applyAlignment="1" applyProtection="1">
      <alignment vertical="center"/>
      <protection locked="0"/>
    </xf>
    <xf numFmtId="38" fontId="5" fillId="3" borderId="25" xfId="1" applyFont="1" applyFill="1" applyBorder="1" applyAlignment="1" applyProtection="1">
      <alignment vertical="center"/>
      <protection locked="0"/>
    </xf>
    <xf numFmtId="38" fontId="13" fillId="3" borderId="34" xfId="1" applyFont="1" applyFill="1" applyBorder="1" applyAlignment="1" applyProtection="1">
      <alignment horizontal="right" vertical="center"/>
      <protection locked="0"/>
    </xf>
    <xf numFmtId="38" fontId="13" fillId="3" borderId="17" xfId="1" applyFont="1" applyFill="1" applyBorder="1" applyAlignment="1" applyProtection="1">
      <alignment horizontal="right" vertical="center"/>
      <protection locked="0"/>
    </xf>
    <xf numFmtId="38" fontId="13" fillId="3" borderId="35" xfId="1" applyFont="1" applyFill="1" applyBorder="1" applyAlignment="1" applyProtection="1">
      <alignment horizontal="right" vertical="center"/>
      <protection locked="0"/>
    </xf>
    <xf numFmtId="14" fontId="5" fillId="3" borderId="23" xfId="1" applyNumberFormat="1" applyFont="1" applyFill="1" applyBorder="1" applyAlignment="1" applyProtection="1">
      <alignment vertical="center"/>
      <protection locked="0"/>
    </xf>
    <xf numFmtId="38" fontId="5" fillId="3" borderId="7" xfId="1" applyFont="1" applyFill="1" applyBorder="1" applyAlignment="1" applyProtection="1">
      <alignment vertical="center"/>
      <protection locked="0"/>
    </xf>
    <xf numFmtId="14" fontId="5" fillId="3" borderId="24" xfId="1" applyNumberFormat="1" applyFont="1" applyFill="1" applyBorder="1" applyAlignment="1" applyProtection="1">
      <alignment vertical="center"/>
      <protection locked="0"/>
    </xf>
    <xf numFmtId="38" fontId="5" fillId="3" borderId="9" xfId="1" applyFont="1" applyFill="1" applyBorder="1" applyAlignment="1" applyProtection="1">
      <alignment vertical="center"/>
      <protection locked="0"/>
    </xf>
    <xf numFmtId="14" fontId="5" fillId="3" borderId="25" xfId="1" applyNumberFormat="1" applyFont="1" applyFill="1" applyBorder="1" applyAlignment="1" applyProtection="1">
      <alignment vertical="center"/>
      <protection locked="0"/>
    </xf>
    <xf numFmtId="38" fontId="5" fillId="3" borderId="12" xfId="1" applyFont="1" applyFill="1" applyBorder="1" applyAlignment="1" applyProtection="1">
      <alignment vertical="center"/>
      <protection locked="0"/>
    </xf>
    <xf numFmtId="0" fontId="5" fillId="3" borderId="28" xfId="0" applyFont="1" applyFill="1" applyBorder="1" applyAlignment="1" applyProtection="1">
      <alignment horizontal="center" vertical="center"/>
      <protection locked="0"/>
    </xf>
    <xf numFmtId="0" fontId="5" fillId="3" borderId="30" xfId="0" applyFont="1" applyFill="1" applyBorder="1" applyAlignment="1" applyProtection="1">
      <alignment horizontal="center" vertical="center"/>
      <protection locked="0"/>
    </xf>
    <xf numFmtId="0" fontId="5" fillId="3" borderId="29" xfId="0" applyFont="1" applyFill="1" applyBorder="1" applyAlignment="1" applyProtection="1">
      <alignment horizontal="center" vertical="center"/>
      <protection locked="0"/>
    </xf>
    <xf numFmtId="38" fontId="5" fillId="3" borderId="18" xfId="1" applyFont="1" applyFill="1" applyBorder="1" applyAlignment="1" applyProtection="1">
      <alignment vertical="center"/>
      <protection locked="0"/>
    </xf>
    <xf numFmtId="38" fontId="5" fillId="3" borderId="14" xfId="1" applyFont="1" applyFill="1" applyBorder="1" applyAlignment="1" applyProtection="1">
      <alignment vertical="center"/>
      <protection locked="0"/>
    </xf>
    <xf numFmtId="38" fontId="5" fillId="3" borderId="19" xfId="1" applyFont="1" applyFill="1" applyBorder="1" applyAlignment="1" applyProtection="1">
      <alignment vertical="center"/>
      <protection locked="0"/>
    </xf>
    <xf numFmtId="0" fontId="5" fillId="3" borderId="5" xfId="1" applyNumberFormat="1" applyFont="1" applyFill="1" applyBorder="1" applyAlignment="1" applyProtection="1">
      <alignment vertical="center"/>
      <protection locked="0"/>
    </xf>
    <xf numFmtId="38" fontId="5" fillId="3" borderId="23" xfId="1" applyFont="1" applyFill="1" applyBorder="1" applyAlignment="1" applyProtection="1">
      <alignment horizontal="right" vertical="center"/>
      <protection locked="0"/>
    </xf>
    <xf numFmtId="0" fontId="5" fillId="3" borderId="6" xfId="1" applyNumberFormat="1" applyFont="1" applyFill="1" applyBorder="1" applyAlignment="1" applyProtection="1">
      <alignment vertical="center"/>
      <protection locked="0"/>
    </xf>
    <xf numFmtId="38" fontId="5" fillId="3" borderId="7" xfId="1" applyFont="1" applyFill="1" applyBorder="1" applyAlignment="1" applyProtection="1">
      <alignment horizontal="right" vertical="center"/>
      <protection locked="0"/>
    </xf>
    <xf numFmtId="0" fontId="5" fillId="3" borderId="8" xfId="1" applyNumberFormat="1" applyFont="1" applyFill="1" applyBorder="1" applyAlignment="1" applyProtection="1">
      <alignment vertical="center"/>
      <protection locked="0"/>
    </xf>
    <xf numFmtId="38" fontId="5" fillId="3" borderId="24" xfId="1" applyFont="1" applyFill="1" applyBorder="1" applyAlignment="1" applyProtection="1">
      <alignment horizontal="right" vertical="center"/>
      <protection locked="0"/>
    </xf>
    <xf numFmtId="0" fontId="5" fillId="3" borderId="1" xfId="1" applyNumberFormat="1" applyFont="1" applyFill="1" applyBorder="1" applyAlignment="1" applyProtection="1">
      <alignment vertical="center"/>
      <protection locked="0"/>
    </xf>
    <xf numFmtId="38" fontId="5" fillId="3" borderId="9" xfId="1" applyFont="1" applyFill="1" applyBorder="1" applyAlignment="1" applyProtection="1">
      <alignment horizontal="right" vertical="center"/>
      <protection locked="0"/>
    </xf>
    <xf numFmtId="0" fontId="5" fillId="3" borderId="10" xfId="1" applyNumberFormat="1" applyFont="1" applyFill="1" applyBorder="1" applyAlignment="1" applyProtection="1">
      <alignment vertical="center"/>
      <protection locked="0"/>
    </xf>
    <xf numFmtId="38" fontId="5" fillId="3" borderId="25" xfId="1" applyFont="1" applyFill="1" applyBorder="1" applyAlignment="1" applyProtection="1">
      <alignment horizontal="right" vertical="center"/>
      <protection locked="0"/>
    </xf>
    <xf numFmtId="0" fontId="5" fillId="3" borderId="11" xfId="1" applyNumberFormat="1" applyFont="1" applyFill="1" applyBorder="1" applyAlignment="1" applyProtection="1">
      <alignment vertical="center"/>
      <protection locked="0"/>
    </xf>
    <xf numFmtId="38" fontId="5" fillId="3" borderId="12" xfId="1" applyFont="1" applyFill="1" applyBorder="1" applyAlignment="1" applyProtection="1">
      <alignment horizontal="right" vertical="center"/>
      <protection locked="0"/>
    </xf>
    <xf numFmtId="0" fontId="20" fillId="8" borderId="24" xfId="0" applyFont="1" applyFill="1" applyBorder="1" applyAlignment="1">
      <alignment horizontal="center" vertical="center" wrapText="1"/>
    </xf>
    <xf numFmtId="0" fontId="20" fillId="8" borderId="24" xfId="0" applyFont="1" applyFill="1" applyBorder="1" applyAlignment="1">
      <alignment horizontal="center" vertical="center"/>
    </xf>
    <xf numFmtId="0" fontId="3" fillId="3" borderId="24" xfId="0" applyFont="1" applyFill="1" applyBorder="1" applyAlignment="1">
      <alignment horizontal="left" vertical="center" wrapText="1"/>
    </xf>
    <xf numFmtId="0" fontId="3" fillId="3" borderId="24" xfId="0" applyFont="1" applyFill="1" applyBorder="1" applyAlignment="1">
      <alignment horizontal="left" vertical="center"/>
    </xf>
    <xf numFmtId="0" fontId="3" fillId="5" borderId="26" xfId="0" applyFont="1" applyFill="1" applyBorder="1" applyAlignment="1">
      <alignment horizontal="center" vertical="center"/>
    </xf>
  </cellXfs>
  <cellStyles count="2">
    <cellStyle name="桁区切り" xfId="1" builtinId="6"/>
    <cellStyle name="標準" xfId="0" builtinId="0"/>
  </cellStyles>
  <dxfs count="5">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EECF5"/>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sv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6.svg"/><Relationship Id="rId5" Type="http://schemas.openxmlformats.org/officeDocument/2006/relationships/image" Target="../media/image5.png"/><Relationship Id="rId4" Type="http://schemas.openxmlformats.org/officeDocument/2006/relationships/image" Target="../media/image4.sv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50</xdr:row>
      <xdr:rowOff>0</xdr:rowOff>
    </xdr:from>
    <xdr:to>
      <xdr:col>35</xdr:col>
      <xdr:colOff>0</xdr:colOff>
      <xdr:row>60</xdr:row>
      <xdr:rowOff>80192</xdr:rowOff>
    </xdr:to>
    <xdr:pic>
      <xdr:nvPicPr>
        <xdr:cNvPr id="13" name="グラフィックス 12">
          <a:extLst>
            <a:ext uri="{FF2B5EF4-FFF2-40B4-BE49-F238E27FC236}">
              <a16:creationId xmlns:a16="http://schemas.microsoft.com/office/drawing/2014/main" id="{911E6623-0A01-2A8B-6CF5-97EDC14B42D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71550" y="11487150"/>
          <a:ext cx="10363200" cy="2080442"/>
        </a:xfrm>
        <a:prstGeom prst="rect">
          <a:avLst/>
        </a:prstGeom>
      </xdr:spPr>
    </xdr:pic>
    <xdr:clientData/>
  </xdr:twoCellAnchor>
  <xdr:twoCellAnchor>
    <xdr:from>
      <xdr:col>3</xdr:col>
      <xdr:colOff>133403</xdr:colOff>
      <xdr:row>58</xdr:row>
      <xdr:rowOff>62448</xdr:rowOff>
    </xdr:from>
    <xdr:to>
      <xdr:col>22</xdr:col>
      <xdr:colOff>11906</xdr:colOff>
      <xdr:row>59</xdr:row>
      <xdr:rowOff>157978</xdr:rowOff>
    </xdr:to>
    <xdr:sp macro="" textlink="">
      <xdr:nvSpPr>
        <xdr:cNvPr id="11" name="正方形/長方形 10">
          <a:extLst>
            <a:ext uri="{FF2B5EF4-FFF2-40B4-BE49-F238E27FC236}">
              <a16:creationId xmlns:a16="http://schemas.microsoft.com/office/drawing/2014/main" id="{E2356103-D8F4-4C8D-A211-2B446872C5A6}"/>
            </a:ext>
          </a:extLst>
        </xdr:cNvPr>
        <xdr:cNvSpPr/>
      </xdr:nvSpPr>
      <xdr:spPr>
        <a:xfrm>
          <a:off x="1109135" y="13137253"/>
          <a:ext cx="6058137" cy="295323"/>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123736</xdr:colOff>
      <xdr:row>51</xdr:row>
      <xdr:rowOff>27216</xdr:rowOff>
    </xdr:from>
    <xdr:to>
      <xdr:col>33</xdr:col>
      <xdr:colOff>80206</xdr:colOff>
      <xdr:row>51</xdr:row>
      <xdr:rowOff>133756</xdr:rowOff>
    </xdr:to>
    <xdr:sp macro="" textlink="">
      <xdr:nvSpPr>
        <xdr:cNvPr id="14" name="正方形/長方形 13">
          <a:extLst>
            <a:ext uri="{FF2B5EF4-FFF2-40B4-BE49-F238E27FC236}">
              <a16:creationId xmlns:a16="http://schemas.microsoft.com/office/drawing/2014/main" id="{6C8DA617-E4DE-5B8A-2C4C-0BADB53C180E}"/>
            </a:ext>
          </a:extLst>
        </xdr:cNvPr>
        <xdr:cNvSpPr/>
      </xdr:nvSpPr>
      <xdr:spPr>
        <a:xfrm>
          <a:off x="10499906" y="12065195"/>
          <a:ext cx="280726" cy="106540"/>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54611</xdr:colOff>
      <xdr:row>50</xdr:row>
      <xdr:rowOff>59432</xdr:rowOff>
    </xdr:from>
    <xdr:to>
      <xdr:col>33</xdr:col>
      <xdr:colOff>272832</xdr:colOff>
      <xdr:row>51</xdr:row>
      <xdr:rowOff>76651</xdr:rowOff>
    </xdr:to>
    <xdr:sp macro="" textlink="">
      <xdr:nvSpPr>
        <xdr:cNvPr id="16" name="楕円 15">
          <a:extLst>
            <a:ext uri="{FF2B5EF4-FFF2-40B4-BE49-F238E27FC236}">
              <a16:creationId xmlns:a16="http://schemas.microsoft.com/office/drawing/2014/main" id="{36EDCBAE-C393-0A29-FBDD-034AF4D80DB4}"/>
            </a:ext>
          </a:extLst>
        </xdr:cNvPr>
        <xdr:cNvSpPr/>
      </xdr:nvSpPr>
      <xdr:spPr>
        <a:xfrm>
          <a:off x="10831468" y="12001061"/>
          <a:ext cx="218221" cy="218604"/>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3</a:t>
          </a:r>
          <a:endParaRPr kumimoji="1" lang="ja-JP" altLang="en-US" sz="1100" b="1"/>
        </a:p>
      </xdr:txBody>
    </xdr:sp>
    <xdr:clientData/>
  </xdr:twoCellAnchor>
  <xdr:twoCellAnchor>
    <xdr:from>
      <xdr:col>3</xdr:col>
      <xdr:colOff>274917</xdr:colOff>
      <xdr:row>51</xdr:row>
      <xdr:rowOff>37745</xdr:rowOff>
    </xdr:from>
    <xdr:to>
      <xdr:col>11</xdr:col>
      <xdr:colOff>310243</xdr:colOff>
      <xdr:row>58</xdr:row>
      <xdr:rowOff>21770</xdr:rowOff>
    </xdr:to>
    <xdr:sp macro="" textlink="">
      <xdr:nvSpPr>
        <xdr:cNvPr id="17" name="正方形/長方形 16">
          <a:extLst>
            <a:ext uri="{FF2B5EF4-FFF2-40B4-BE49-F238E27FC236}">
              <a16:creationId xmlns:a16="http://schemas.microsoft.com/office/drawing/2014/main" id="{24CC0267-A3FC-5C9A-23D0-B603D363F477}"/>
            </a:ext>
          </a:extLst>
        </xdr:cNvPr>
        <xdr:cNvSpPr/>
      </xdr:nvSpPr>
      <xdr:spPr>
        <a:xfrm>
          <a:off x="1254631" y="11979374"/>
          <a:ext cx="2647898" cy="1393725"/>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160615</xdr:colOff>
      <xdr:row>51</xdr:row>
      <xdr:rowOff>37745</xdr:rowOff>
    </xdr:from>
    <xdr:to>
      <xdr:col>27</xdr:col>
      <xdr:colOff>10884</xdr:colOff>
      <xdr:row>58</xdr:row>
      <xdr:rowOff>21770</xdr:rowOff>
    </xdr:to>
    <xdr:sp macro="" textlink="">
      <xdr:nvSpPr>
        <xdr:cNvPr id="18" name="正方形/長方形 17">
          <a:extLst>
            <a:ext uri="{FF2B5EF4-FFF2-40B4-BE49-F238E27FC236}">
              <a16:creationId xmlns:a16="http://schemas.microsoft.com/office/drawing/2014/main" id="{4E77405E-BC8A-4603-2D2E-A422096D8737}"/>
            </a:ext>
          </a:extLst>
        </xdr:cNvPr>
        <xdr:cNvSpPr/>
      </xdr:nvSpPr>
      <xdr:spPr>
        <a:xfrm>
          <a:off x="4345046" y="11829038"/>
          <a:ext cx="4356579" cy="1363508"/>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136071</xdr:colOff>
      <xdr:row>51</xdr:row>
      <xdr:rowOff>37745</xdr:rowOff>
    </xdr:from>
    <xdr:to>
      <xdr:col>32</xdr:col>
      <xdr:colOff>76199</xdr:colOff>
      <xdr:row>58</xdr:row>
      <xdr:rowOff>21770</xdr:rowOff>
    </xdr:to>
    <xdr:sp macro="" textlink="">
      <xdr:nvSpPr>
        <xdr:cNvPr id="19" name="正方形/長方形 18">
          <a:extLst>
            <a:ext uri="{FF2B5EF4-FFF2-40B4-BE49-F238E27FC236}">
              <a16:creationId xmlns:a16="http://schemas.microsoft.com/office/drawing/2014/main" id="{12D58627-5A29-B6B2-85AF-5CEB34C9B90E}"/>
            </a:ext>
          </a:extLst>
        </xdr:cNvPr>
        <xdr:cNvSpPr/>
      </xdr:nvSpPr>
      <xdr:spPr>
        <a:xfrm>
          <a:off x="9280071" y="11979374"/>
          <a:ext cx="1246414" cy="1393725"/>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142453</xdr:colOff>
      <xdr:row>58</xdr:row>
      <xdr:rowOff>14828</xdr:rowOff>
    </xdr:from>
    <xdr:to>
      <xdr:col>22</xdr:col>
      <xdr:colOff>35430</xdr:colOff>
      <xdr:row>59</xdr:row>
      <xdr:rowOff>32045</xdr:rowOff>
    </xdr:to>
    <xdr:sp macro="" textlink="">
      <xdr:nvSpPr>
        <xdr:cNvPr id="15" name="楕円 14">
          <a:extLst>
            <a:ext uri="{FF2B5EF4-FFF2-40B4-BE49-F238E27FC236}">
              <a16:creationId xmlns:a16="http://schemas.microsoft.com/office/drawing/2014/main" id="{6E2290C4-3C8D-4EA5-BC57-3CC23E06C55B}"/>
            </a:ext>
          </a:extLst>
        </xdr:cNvPr>
        <xdr:cNvSpPr/>
      </xdr:nvSpPr>
      <xdr:spPr>
        <a:xfrm>
          <a:off x="6972575" y="13089633"/>
          <a:ext cx="218221" cy="217010"/>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1</a:t>
          </a:r>
          <a:endParaRPr kumimoji="1" lang="ja-JP" altLang="en-US" sz="1100" b="1"/>
        </a:p>
      </xdr:txBody>
    </xdr:sp>
    <xdr:clientData/>
  </xdr:twoCellAnchor>
  <xdr:twoCellAnchor>
    <xdr:from>
      <xdr:col>19</xdr:col>
      <xdr:colOff>300200</xdr:colOff>
      <xdr:row>49</xdr:row>
      <xdr:rowOff>27967</xdr:rowOff>
    </xdr:from>
    <xdr:to>
      <xdr:col>20</xdr:col>
      <xdr:colOff>193177</xdr:colOff>
      <xdr:row>50</xdr:row>
      <xdr:rowOff>45184</xdr:rowOff>
    </xdr:to>
    <xdr:sp macro="" textlink="">
      <xdr:nvSpPr>
        <xdr:cNvPr id="20" name="楕円 19">
          <a:extLst>
            <a:ext uri="{FF2B5EF4-FFF2-40B4-BE49-F238E27FC236}">
              <a16:creationId xmlns:a16="http://schemas.microsoft.com/office/drawing/2014/main" id="{D24C3EE0-C8D0-8528-D31F-75CB448D9A61}"/>
            </a:ext>
          </a:extLst>
        </xdr:cNvPr>
        <xdr:cNvSpPr/>
      </xdr:nvSpPr>
      <xdr:spPr>
        <a:xfrm>
          <a:off x="6415907" y="11425122"/>
          <a:ext cx="214856" cy="214286"/>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2</a:t>
          </a:r>
          <a:endParaRPr kumimoji="1" lang="ja-JP" altLang="en-US" sz="1100" b="1"/>
        </a:p>
      </xdr:txBody>
    </xdr:sp>
    <xdr:clientData/>
  </xdr:twoCellAnchor>
  <xdr:twoCellAnchor>
    <xdr:from>
      <xdr:col>7</xdr:col>
      <xdr:colOff>292580</xdr:colOff>
      <xdr:row>49</xdr:row>
      <xdr:rowOff>135110</xdr:rowOff>
    </xdr:from>
    <xdr:to>
      <xdr:col>19</xdr:col>
      <xdr:colOff>300200</xdr:colOff>
      <xdr:row>51</xdr:row>
      <xdr:rowOff>37745</xdr:rowOff>
    </xdr:to>
    <xdr:cxnSp macro="">
      <xdr:nvCxnSpPr>
        <xdr:cNvPr id="25" name="直線コネクタ 24">
          <a:extLst>
            <a:ext uri="{FF2B5EF4-FFF2-40B4-BE49-F238E27FC236}">
              <a16:creationId xmlns:a16="http://schemas.microsoft.com/office/drawing/2014/main" id="{612E0AA4-14FF-1333-0710-E9EE27E2280A}"/>
            </a:ext>
          </a:extLst>
        </xdr:cNvPr>
        <xdr:cNvCxnSpPr>
          <a:stCxn id="20" idx="2"/>
          <a:endCxn id="17" idx="0"/>
        </xdr:cNvCxnSpPr>
      </xdr:nvCxnSpPr>
      <xdr:spPr>
        <a:xfrm flipH="1">
          <a:off x="2545735" y="11532265"/>
          <a:ext cx="3870172" cy="296773"/>
        </a:xfrm>
        <a:prstGeom prst="line">
          <a:avLst/>
        </a:prstGeom>
        <a:ln w="1270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193177</xdr:colOff>
      <xdr:row>49</xdr:row>
      <xdr:rowOff>135110</xdr:rowOff>
    </xdr:from>
    <xdr:to>
      <xdr:col>30</xdr:col>
      <xdr:colOff>106136</xdr:colOff>
      <xdr:row>51</xdr:row>
      <xdr:rowOff>37745</xdr:rowOff>
    </xdr:to>
    <xdr:cxnSp macro="">
      <xdr:nvCxnSpPr>
        <xdr:cNvPr id="28" name="直線コネクタ 27">
          <a:extLst>
            <a:ext uri="{FF2B5EF4-FFF2-40B4-BE49-F238E27FC236}">
              <a16:creationId xmlns:a16="http://schemas.microsoft.com/office/drawing/2014/main" id="{771C3334-75AF-4E3A-AA4E-565FDBFCECB4}"/>
            </a:ext>
          </a:extLst>
        </xdr:cNvPr>
        <xdr:cNvCxnSpPr>
          <a:stCxn id="20" idx="6"/>
          <a:endCxn id="19" idx="0"/>
        </xdr:cNvCxnSpPr>
      </xdr:nvCxnSpPr>
      <xdr:spPr>
        <a:xfrm>
          <a:off x="6630763" y="11532265"/>
          <a:ext cx="3131752" cy="296773"/>
        </a:xfrm>
        <a:prstGeom prst="line">
          <a:avLst/>
        </a:prstGeom>
        <a:ln w="1270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85749</xdr:colOff>
      <xdr:row>50</xdr:row>
      <xdr:rowOff>45184</xdr:rowOff>
    </xdr:from>
    <xdr:to>
      <xdr:col>20</xdr:col>
      <xdr:colOff>85750</xdr:colOff>
      <xdr:row>51</xdr:row>
      <xdr:rowOff>37745</xdr:rowOff>
    </xdr:to>
    <xdr:cxnSp macro="">
      <xdr:nvCxnSpPr>
        <xdr:cNvPr id="31" name="直線コネクタ 30">
          <a:extLst>
            <a:ext uri="{FF2B5EF4-FFF2-40B4-BE49-F238E27FC236}">
              <a16:creationId xmlns:a16="http://schemas.microsoft.com/office/drawing/2014/main" id="{9EB65C02-FF6D-4422-A1A6-6EF86AC65E85}"/>
            </a:ext>
          </a:extLst>
        </xdr:cNvPr>
        <xdr:cNvCxnSpPr>
          <a:stCxn id="20" idx="4"/>
          <a:endCxn id="18" idx="0"/>
        </xdr:cNvCxnSpPr>
      </xdr:nvCxnSpPr>
      <xdr:spPr>
        <a:xfrm>
          <a:off x="6523335" y="11639408"/>
          <a:ext cx="1" cy="189630"/>
        </a:xfrm>
        <a:prstGeom prst="line">
          <a:avLst/>
        </a:prstGeom>
        <a:ln w="1270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0</xdr:colOff>
      <xdr:row>84</xdr:row>
      <xdr:rowOff>0</xdr:rowOff>
    </xdr:from>
    <xdr:to>
      <xdr:col>27</xdr:col>
      <xdr:colOff>74543</xdr:colOff>
      <xdr:row>99</xdr:row>
      <xdr:rowOff>94836</xdr:rowOff>
    </xdr:to>
    <xdr:pic>
      <xdr:nvPicPr>
        <xdr:cNvPr id="47" name="グラフィックス 46">
          <a:extLst>
            <a:ext uri="{FF2B5EF4-FFF2-40B4-BE49-F238E27FC236}">
              <a16:creationId xmlns:a16="http://schemas.microsoft.com/office/drawing/2014/main" id="{9B14670C-BE1A-621F-67BD-121B8BC9896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938130" y="18602739"/>
          <a:ext cx="6858000" cy="3076575"/>
        </a:xfrm>
        <a:prstGeom prst="rect">
          <a:avLst/>
        </a:prstGeom>
      </xdr:spPr>
    </xdr:pic>
    <xdr:clientData/>
  </xdr:twoCellAnchor>
  <xdr:twoCellAnchor>
    <xdr:from>
      <xdr:col>6</xdr:col>
      <xdr:colOff>149969</xdr:colOff>
      <xdr:row>95</xdr:row>
      <xdr:rowOff>5763</xdr:rowOff>
    </xdr:from>
    <xdr:to>
      <xdr:col>12</xdr:col>
      <xdr:colOff>220267</xdr:colOff>
      <xdr:row>96</xdr:row>
      <xdr:rowOff>196453</xdr:rowOff>
    </xdr:to>
    <xdr:sp macro="" textlink="">
      <xdr:nvSpPr>
        <xdr:cNvPr id="50" name="正方形/長方形 49">
          <a:extLst>
            <a:ext uri="{FF2B5EF4-FFF2-40B4-BE49-F238E27FC236}">
              <a16:creationId xmlns:a16="http://schemas.microsoft.com/office/drawing/2014/main" id="{6C30BB01-A7A4-ED81-399E-06D1DB913484}"/>
            </a:ext>
          </a:extLst>
        </xdr:cNvPr>
        <xdr:cNvSpPr/>
      </xdr:nvSpPr>
      <xdr:spPr>
        <a:xfrm>
          <a:off x="2088099" y="20795111"/>
          <a:ext cx="2008429" cy="389472"/>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63768</xdr:colOff>
      <xdr:row>94</xdr:row>
      <xdr:rowOff>166502</xdr:rowOff>
    </xdr:from>
    <xdr:to>
      <xdr:col>12</xdr:col>
      <xdr:colOff>278214</xdr:colOff>
      <xdr:row>95</xdr:row>
      <xdr:rowOff>183719</xdr:rowOff>
    </xdr:to>
    <xdr:sp macro="" textlink="">
      <xdr:nvSpPr>
        <xdr:cNvPr id="51" name="楕円 50">
          <a:extLst>
            <a:ext uri="{FF2B5EF4-FFF2-40B4-BE49-F238E27FC236}">
              <a16:creationId xmlns:a16="http://schemas.microsoft.com/office/drawing/2014/main" id="{1A4D6A33-23E2-8193-4BFC-9CFA3CA441AA}"/>
            </a:ext>
          </a:extLst>
        </xdr:cNvPr>
        <xdr:cNvSpPr/>
      </xdr:nvSpPr>
      <xdr:spPr>
        <a:xfrm>
          <a:off x="3940029" y="20757067"/>
          <a:ext cx="214446" cy="216000"/>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1</a:t>
          </a:r>
          <a:endParaRPr kumimoji="1" lang="ja-JP" altLang="en-US" sz="1100" b="1"/>
        </a:p>
      </xdr:txBody>
    </xdr:sp>
    <xdr:clientData/>
  </xdr:twoCellAnchor>
  <xdr:twoCellAnchor>
    <xdr:from>
      <xdr:col>7</xdr:col>
      <xdr:colOff>13048</xdr:colOff>
      <xdr:row>85</xdr:row>
      <xdr:rowOff>130779</xdr:rowOff>
    </xdr:from>
    <xdr:to>
      <xdr:col>12</xdr:col>
      <xdr:colOff>11906</xdr:colOff>
      <xdr:row>94</xdr:row>
      <xdr:rowOff>89297</xdr:rowOff>
    </xdr:to>
    <xdr:sp macro="" textlink="">
      <xdr:nvSpPr>
        <xdr:cNvPr id="52" name="正方形/長方形 51">
          <a:extLst>
            <a:ext uri="{FF2B5EF4-FFF2-40B4-BE49-F238E27FC236}">
              <a16:creationId xmlns:a16="http://schemas.microsoft.com/office/drawing/2014/main" id="{3C2207C7-1B0F-0E37-A4EA-629AEE494924}"/>
            </a:ext>
          </a:extLst>
        </xdr:cNvPr>
        <xdr:cNvSpPr/>
      </xdr:nvSpPr>
      <xdr:spPr>
        <a:xfrm>
          <a:off x="2274200" y="18932301"/>
          <a:ext cx="1613967" cy="174756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179735</xdr:colOff>
      <xdr:row>85</xdr:row>
      <xdr:rowOff>130779</xdr:rowOff>
    </xdr:from>
    <xdr:to>
      <xdr:col>17</xdr:col>
      <xdr:colOff>244078</xdr:colOff>
      <xdr:row>94</xdr:row>
      <xdr:rowOff>89297</xdr:rowOff>
    </xdr:to>
    <xdr:sp macro="" textlink="">
      <xdr:nvSpPr>
        <xdr:cNvPr id="53" name="正方形/長方形 52">
          <a:extLst>
            <a:ext uri="{FF2B5EF4-FFF2-40B4-BE49-F238E27FC236}">
              <a16:creationId xmlns:a16="http://schemas.microsoft.com/office/drawing/2014/main" id="{FE7B2F6F-A955-B4EC-3B2D-3BE10DD9CE7B}"/>
            </a:ext>
          </a:extLst>
        </xdr:cNvPr>
        <xdr:cNvSpPr/>
      </xdr:nvSpPr>
      <xdr:spPr>
        <a:xfrm>
          <a:off x="4379018" y="18932301"/>
          <a:ext cx="1356430" cy="174756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274985</xdr:colOff>
      <xdr:row>85</xdr:row>
      <xdr:rowOff>130779</xdr:rowOff>
    </xdr:from>
    <xdr:to>
      <xdr:col>22</xdr:col>
      <xdr:colOff>101203</xdr:colOff>
      <xdr:row>94</xdr:row>
      <xdr:rowOff>89297</xdr:rowOff>
    </xdr:to>
    <xdr:sp macro="" textlink="">
      <xdr:nvSpPr>
        <xdr:cNvPr id="54" name="正方形/長方形 53">
          <a:extLst>
            <a:ext uri="{FF2B5EF4-FFF2-40B4-BE49-F238E27FC236}">
              <a16:creationId xmlns:a16="http://schemas.microsoft.com/office/drawing/2014/main" id="{B4132FEC-F8E9-F9B9-2051-5CCD86C36964}"/>
            </a:ext>
          </a:extLst>
        </xdr:cNvPr>
        <xdr:cNvSpPr/>
      </xdr:nvSpPr>
      <xdr:spPr>
        <a:xfrm>
          <a:off x="5766355" y="18932301"/>
          <a:ext cx="1441326" cy="174756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71436</xdr:colOff>
      <xdr:row>85</xdr:row>
      <xdr:rowOff>38100</xdr:rowOff>
    </xdr:from>
    <xdr:to>
      <xdr:col>26</xdr:col>
      <xdr:colOff>101202</xdr:colOff>
      <xdr:row>85</xdr:row>
      <xdr:rowOff>166688</xdr:rowOff>
    </xdr:to>
    <xdr:sp macro="" textlink="">
      <xdr:nvSpPr>
        <xdr:cNvPr id="55" name="正方形/長方形 54">
          <a:extLst>
            <a:ext uri="{FF2B5EF4-FFF2-40B4-BE49-F238E27FC236}">
              <a16:creationId xmlns:a16="http://schemas.microsoft.com/office/drawing/2014/main" id="{AF7646D7-1B5C-BF15-2E56-82355A22C8B1}"/>
            </a:ext>
          </a:extLst>
        </xdr:cNvPr>
        <xdr:cNvSpPr/>
      </xdr:nvSpPr>
      <xdr:spPr>
        <a:xfrm>
          <a:off x="8235722" y="19028229"/>
          <a:ext cx="356337" cy="128588"/>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194737</xdr:colOff>
      <xdr:row>84</xdr:row>
      <xdr:rowOff>148641</xdr:rowOff>
    </xdr:from>
    <xdr:to>
      <xdr:col>12</xdr:col>
      <xdr:colOff>87714</xdr:colOff>
      <xdr:row>85</xdr:row>
      <xdr:rowOff>165859</xdr:rowOff>
    </xdr:to>
    <xdr:sp macro="" textlink="">
      <xdr:nvSpPr>
        <xdr:cNvPr id="56" name="楕円 55">
          <a:extLst>
            <a:ext uri="{FF2B5EF4-FFF2-40B4-BE49-F238E27FC236}">
              <a16:creationId xmlns:a16="http://schemas.microsoft.com/office/drawing/2014/main" id="{FBEFA61C-2FEC-A060-EF62-C187BCC32816}"/>
            </a:ext>
          </a:extLst>
        </xdr:cNvPr>
        <xdr:cNvSpPr/>
      </xdr:nvSpPr>
      <xdr:spPr>
        <a:xfrm>
          <a:off x="3730893" y="19014094"/>
          <a:ext cx="214446" cy="219624"/>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2</a:t>
          </a:r>
          <a:endParaRPr kumimoji="1" lang="ja-JP" altLang="en-US" sz="1100" b="1"/>
        </a:p>
      </xdr:txBody>
    </xdr:sp>
    <xdr:clientData/>
  </xdr:twoCellAnchor>
  <xdr:twoCellAnchor>
    <xdr:from>
      <xdr:col>17</xdr:col>
      <xdr:colOff>34002</xdr:colOff>
      <xdr:row>84</xdr:row>
      <xdr:rowOff>148641</xdr:rowOff>
    </xdr:from>
    <xdr:to>
      <xdr:col>17</xdr:col>
      <xdr:colOff>248448</xdr:colOff>
      <xdr:row>85</xdr:row>
      <xdr:rowOff>165859</xdr:rowOff>
    </xdr:to>
    <xdr:sp macro="" textlink="">
      <xdr:nvSpPr>
        <xdr:cNvPr id="57" name="楕円 56">
          <a:extLst>
            <a:ext uri="{FF2B5EF4-FFF2-40B4-BE49-F238E27FC236}">
              <a16:creationId xmlns:a16="http://schemas.microsoft.com/office/drawing/2014/main" id="{286E98CB-0E82-8243-CE4C-2267CB50750A}"/>
            </a:ext>
          </a:extLst>
        </xdr:cNvPr>
        <xdr:cNvSpPr/>
      </xdr:nvSpPr>
      <xdr:spPr>
        <a:xfrm>
          <a:off x="5498971" y="19014094"/>
          <a:ext cx="214446" cy="219624"/>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3</a:t>
          </a:r>
          <a:endParaRPr kumimoji="1" lang="ja-JP" altLang="en-US" sz="1100" b="1"/>
        </a:p>
      </xdr:txBody>
    </xdr:sp>
    <xdr:clientData/>
  </xdr:twoCellAnchor>
  <xdr:twoCellAnchor>
    <xdr:from>
      <xdr:col>21</xdr:col>
      <xdr:colOff>194737</xdr:colOff>
      <xdr:row>84</xdr:row>
      <xdr:rowOff>148641</xdr:rowOff>
    </xdr:from>
    <xdr:to>
      <xdr:col>22</xdr:col>
      <xdr:colOff>87714</xdr:colOff>
      <xdr:row>85</xdr:row>
      <xdr:rowOff>165859</xdr:rowOff>
    </xdr:to>
    <xdr:sp macro="" textlink="">
      <xdr:nvSpPr>
        <xdr:cNvPr id="58" name="楕円 57">
          <a:extLst>
            <a:ext uri="{FF2B5EF4-FFF2-40B4-BE49-F238E27FC236}">
              <a16:creationId xmlns:a16="http://schemas.microsoft.com/office/drawing/2014/main" id="{5E6EA110-7A47-C39A-8FB3-889F347786C4}"/>
            </a:ext>
          </a:extLst>
        </xdr:cNvPr>
        <xdr:cNvSpPr/>
      </xdr:nvSpPr>
      <xdr:spPr>
        <a:xfrm>
          <a:off x="6945581" y="19014094"/>
          <a:ext cx="214446" cy="219624"/>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4</a:t>
          </a:r>
          <a:endParaRPr kumimoji="1" lang="ja-JP" altLang="en-US" sz="1100" b="1"/>
        </a:p>
      </xdr:txBody>
    </xdr:sp>
    <xdr:clientData/>
  </xdr:twoCellAnchor>
  <xdr:twoCellAnchor>
    <xdr:from>
      <xdr:col>26</xdr:col>
      <xdr:colOff>76525</xdr:colOff>
      <xdr:row>84</xdr:row>
      <xdr:rowOff>68019</xdr:rowOff>
    </xdr:from>
    <xdr:to>
      <xdr:col>26</xdr:col>
      <xdr:colOff>290971</xdr:colOff>
      <xdr:row>85</xdr:row>
      <xdr:rowOff>85237</xdr:rowOff>
    </xdr:to>
    <xdr:sp macro="" textlink="">
      <xdr:nvSpPr>
        <xdr:cNvPr id="59" name="楕円 58">
          <a:extLst>
            <a:ext uri="{FF2B5EF4-FFF2-40B4-BE49-F238E27FC236}">
              <a16:creationId xmlns:a16="http://schemas.microsoft.com/office/drawing/2014/main" id="{39E87F2C-9F14-EC8F-9F01-105D7353CE73}"/>
            </a:ext>
          </a:extLst>
        </xdr:cNvPr>
        <xdr:cNvSpPr/>
      </xdr:nvSpPr>
      <xdr:spPr>
        <a:xfrm>
          <a:off x="8567382" y="18856762"/>
          <a:ext cx="214446" cy="218604"/>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5</a:t>
          </a:r>
          <a:endParaRPr kumimoji="1" lang="ja-JP" altLang="en-US" sz="1100" b="1"/>
        </a:p>
      </xdr:txBody>
    </xdr:sp>
    <xdr:clientData/>
  </xdr:twoCellAnchor>
  <xdr:twoCellAnchor editAs="oneCell">
    <xdr:from>
      <xdr:col>3</xdr:col>
      <xdr:colOff>0</xdr:colOff>
      <xdr:row>133</xdr:row>
      <xdr:rowOff>0</xdr:rowOff>
    </xdr:from>
    <xdr:to>
      <xdr:col>35</xdr:col>
      <xdr:colOff>0</xdr:colOff>
      <xdr:row>145</xdr:row>
      <xdr:rowOff>91109</xdr:rowOff>
    </xdr:to>
    <xdr:pic>
      <xdr:nvPicPr>
        <xdr:cNvPr id="61" name="グラフィックス 60">
          <a:extLst>
            <a:ext uri="{FF2B5EF4-FFF2-40B4-BE49-F238E27FC236}">
              <a16:creationId xmlns:a16="http://schemas.microsoft.com/office/drawing/2014/main" id="{F0D5124D-5F72-C13E-8656-E615D720FCC9}"/>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969065" y="28343087"/>
          <a:ext cx="10336696" cy="2476500"/>
        </a:xfrm>
        <a:prstGeom prst="rect">
          <a:avLst/>
        </a:prstGeom>
      </xdr:spPr>
    </xdr:pic>
    <xdr:clientData/>
  </xdr:twoCellAnchor>
  <xdr:twoCellAnchor>
    <xdr:from>
      <xdr:col>3</xdr:col>
      <xdr:colOff>258827</xdr:colOff>
      <xdr:row>135</xdr:row>
      <xdr:rowOff>140887</xdr:rowOff>
    </xdr:from>
    <xdr:to>
      <xdr:col>7</xdr:col>
      <xdr:colOff>59871</xdr:colOff>
      <xdr:row>142</xdr:row>
      <xdr:rowOff>168728</xdr:rowOff>
    </xdr:to>
    <xdr:sp macro="" textlink="">
      <xdr:nvSpPr>
        <xdr:cNvPr id="62" name="正方形/長方形 61">
          <a:extLst>
            <a:ext uri="{FF2B5EF4-FFF2-40B4-BE49-F238E27FC236}">
              <a16:creationId xmlns:a16="http://schemas.microsoft.com/office/drawing/2014/main" id="{BBF42574-4FEF-6F58-A26A-7D9D2FC11E45}"/>
            </a:ext>
          </a:extLst>
        </xdr:cNvPr>
        <xdr:cNvSpPr/>
      </xdr:nvSpPr>
      <xdr:spPr>
        <a:xfrm>
          <a:off x="1238541" y="29200301"/>
          <a:ext cx="1107330" cy="143754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19341</xdr:colOff>
      <xdr:row>135</xdr:row>
      <xdr:rowOff>140887</xdr:rowOff>
    </xdr:from>
    <xdr:to>
      <xdr:col>14</xdr:col>
      <xdr:colOff>157843</xdr:colOff>
      <xdr:row>142</xdr:row>
      <xdr:rowOff>168728</xdr:rowOff>
    </xdr:to>
    <xdr:sp macro="" textlink="">
      <xdr:nvSpPr>
        <xdr:cNvPr id="64" name="正方形/長方形 63">
          <a:extLst>
            <a:ext uri="{FF2B5EF4-FFF2-40B4-BE49-F238E27FC236}">
              <a16:creationId xmlns:a16="http://schemas.microsoft.com/office/drawing/2014/main" id="{98C0ECC9-FE32-4A81-11A6-3CF93A7EC4C9}"/>
            </a:ext>
          </a:extLst>
        </xdr:cNvPr>
        <xdr:cNvSpPr/>
      </xdr:nvSpPr>
      <xdr:spPr>
        <a:xfrm>
          <a:off x="3938198" y="29200301"/>
          <a:ext cx="791645" cy="143754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220727</xdr:colOff>
      <xdr:row>135</xdr:row>
      <xdr:rowOff>140887</xdr:rowOff>
    </xdr:from>
    <xdr:to>
      <xdr:col>24</xdr:col>
      <xdr:colOff>92529</xdr:colOff>
      <xdr:row>142</xdr:row>
      <xdr:rowOff>168728</xdr:rowOff>
    </xdr:to>
    <xdr:sp macro="" textlink="">
      <xdr:nvSpPr>
        <xdr:cNvPr id="65" name="正方形/長方形 64">
          <a:extLst>
            <a:ext uri="{FF2B5EF4-FFF2-40B4-BE49-F238E27FC236}">
              <a16:creationId xmlns:a16="http://schemas.microsoft.com/office/drawing/2014/main" id="{02074A90-BDF8-C270-799D-B1FE4686769D}"/>
            </a:ext>
          </a:extLst>
        </xdr:cNvPr>
        <xdr:cNvSpPr/>
      </xdr:nvSpPr>
      <xdr:spPr>
        <a:xfrm>
          <a:off x="7078727" y="29200301"/>
          <a:ext cx="851516" cy="143754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166299</xdr:colOff>
      <xdr:row>135</xdr:row>
      <xdr:rowOff>140887</xdr:rowOff>
    </xdr:from>
    <xdr:to>
      <xdr:col>31</xdr:col>
      <xdr:colOff>76200</xdr:colOff>
      <xdr:row>142</xdr:row>
      <xdr:rowOff>168728</xdr:rowOff>
    </xdr:to>
    <xdr:sp macro="" textlink="">
      <xdr:nvSpPr>
        <xdr:cNvPr id="66" name="正方形/長方形 65">
          <a:extLst>
            <a:ext uri="{FF2B5EF4-FFF2-40B4-BE49-F238E27FC236}">
              <a16:creationId xmlns:a16="http://schemas.microsoft.com/office/drawing/2014/main" id="{3A495174-03FA-FD41-0049-ACFCC345A565}"/>
            </a:ext>
          </a:extLst>
        </xdr:cNvPr>
        <xdr:cNvSpPr/>
      </xdr:nvSpPr>
      <xdr:spPr>
        <a:xfrm>
          <a:off x="8657156" y="29200301"/>
          <a:ext cx="1542758" cy="143754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106426</xdr:colOff>
      <xdr:row>134</xdr:row>
      <xdr:rowOff>64686</xdr:rowOff>
    </xdr:from>
    <xdr:to>
      <xdr:col>24</xdr:col>
      <xdr:colOff>92528</xdr:colOff>
      <xdr:row>134</xdr:row>
      <xdr:rowOff>185057</xdr:rowOff>
    </xdr:to>
    <xdr:sp macro="" textlink="">
      <xdr:nvSpPr>
        <xdr:cNvPr id="67" name="正方形/長方形 66">
          <a:extLst>
            <a:ext uri="{FF2B5EF4-FFF2-40B4-BE49-F238E27FC236}">
              <a16:creationId xmlns:a16="http://schemas.microsoft.com/office/drawing/2014/main" id="{E31C65CA-5EF5-44FD-F8A7-D189092D2682}"/>
            </a:ext>
          </a:extLst>
        </xdr:cNvPr>
        <xdr:cNvSpPr/>
      </xdr:nvSpPr>
      <xdr:spPr>
        <a:xfrm>
          <a:off x="6637855" y="28922715"/>
          <a:ext cx="1292387" cy="12037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52883</xdr:colOff>
      <xdr:row>133</xdr:row>
      <xdr:rowOff>102843</xdr:rowOff>
    </xdr:from>
    <xdr:to>
      <xdr:col>24</xdr:col>
      <xdr:colOff>267329</xdr:colOff>
      <xdr:row>134</xdr:row>
      <xdr:rowOff>120060</xdr:rowOff>
    </xdr:to>
    <xdr:sp macro="" textlink="">
      <xdr:nvSpPr>
        <xdr:cNvPr id="68" name="楕円 67">
          <a:extLst>
            <a:ext uri="{FF2B5EF4-FFF2-40B4-BE49-F238E27FC236}">
              <a16:creationId xmlns:a16="http://schemas.microsoft.com/office/drawing/2014/main" id="{C061D5EF-ECCD-3759-9DC0-6516163E0A61}"/>
            </a:ext>
          </a:extLst>
        </xdr:cNvPr>
        <xdr:cNvSpPr/>
      </xdr:nvSpPr>
      <xdr:spPr>
        <a:xfrm>
          <a:off x="7890597" y="28759486"/>
          <a:ext cx="214446" cy="218603"/>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3</a:t>
          </a:r>
          <a:endParaRPr kumimoji="1" lang="ja-JP" altLang="en-US" sz="1100" b="1"/>
        </a:p>
      </xdr:txBody>
    </xdr:sp>
    <xdr:clientData/>
  </xdr:twoCellAnchor>
  <xdr:twoCellAnchor>
    <xdr:from>
      <xdr:col>33</xdr:col>
      <xdr:colOff>212272</xdr:colOff>
      <xdr:row>134</xdr:row>
      <xdr:rowOff>64687</xdr:rowOff>
    </xdr:from>
    <xdr:to>
      <xdr:col>34</xdr:col>
      <xdr:colOff>179614</xdr:colOff>
      <xdr:row>134</xdr:row>
      <xdr:rowOff>190500</xdr:rowOff>
    </xdr:to>
    <xdr:sp macro="" textlink="">
      <xdr:nvSpPr>
        <xdr:cNvPr id="69" name="正方形/長方形 68">
          <a:extLst>
            <a:ext uri="{FF2B5EF4-FFF2-40B4-BE49-F238E27FC236}">
              <a16:creationId xmlns:a16="http://schemas.microsoft.com/office/drawing/2014/main" id="{93586467-547C-7404-8324-BA6CD871FB9B}"/>
            </a:ext>
          </a:extLst>
        </xdr:cNvPr>
        <xdr:cNvSpPr/>
      </xdr:nvSpPr>
      <xdr:spPr>
        <a:xfrm>
          <a:off x="10989129" y="28922716"/>
          <a:ext cx="293914" cy="125813"/>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161739</xdr:colOff>
      <xdr:row>133</xdr:row>
      <xdr:rowOff>140943</xdr:rowOff>
    </xdr:from>
    <xdr:to>
      <xdr:col>35</xdr:col>
      <xdr:colOff>49614</xdr:colOff>
      <xdr:row>134</xdr:row>
      <xdr:rowOff>158160</xdr:rowOff>
    </xdr:to>
    <xdr:sp macro="" textlink="">
      <xdr:nvSpPr>
        <xdr:cNvPr id="70" name="楕円 69">
          <a:extLst>
            <a:ext uri="{FF2B5EF4-FFF2-40B4-BE49-F238E27FC236}">
              <a16:creationId xmlns:a16="http://schemas.microsoft.com/office/drawing/2014/main" id="{A3F3061E-9840-BA95-13E0-BBFE6A2C37E6}"/>
            </a:ext>
          </a:extLst>
        </xdr:cNvPr>
        <xdr:cNvSpPr/>
      </xdr:nvSpPr>
      <xdr:spPr>
        <a:xfrm>
          <a:off x="11265168" y="28797586"/>
          <a:ext cx="214446" cy="218603"/>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4</a:t>
          </a:r>
          <a:endParaRPr kumimoji="1" lang="ja-JP" altLang="en-US" sz="1100" b="1"/>
        </a:p>
      </xdr:txBody>
    </xdr:sp>
    <xdr:clientData/>
  </xdr:twoCellAnchor>
  <xdr:twoCellAnchor>
    <xdr:from>
      <xdr:col>20</xdr:col>
      <xdr:colOff>311708</xdr:colOff>
      <xdr:row>142</xdr:row>
      <xdr:rowOff>168728</xdr:rowOff>
    </xdr:from>
    <xdr:to>
      <xdr:col>28</xdr:col>
      <xdr:colOff>282442</xdr:colOff>
      <xdr:row>143</xdr:row>
      <xdr:rowOff>189849</xdr:rowOff>
    </xdr:to>
    <xdr:cxnSp macro="">
      <xdr:nvCxnSpPr>
        <xdr:cNvPr id="71" name="直線コネクタ 70">
          <a:extLst>
            <a:ext uri="{FF2B5EF4-FFF2-40B4-BE49-F238E27FC236}">
              <a16:creationId xmlns:a16="http://schemas.microsoft.com/office/drawing/2014/main" id="{93DA0B59-FF97-4388-83EA-5ECE9D64ADF7}"/>
            </a:ext>
          </a:extLst>
        </xdr:cNvPr>
        <xdr:cNvCxnSpPr>
          <a:stCxn id="63" idx="6"/>
          <a:endCxn id="66" idx="2"/>
        </xdr:cNvCxnSpPr>
      </xdr:nvCxnSpPr>
      <xdr:spPr>
        <a:xfrm flipV="1">
          <a:off x="6759400" y="30187132"/>
          <a:ext cx="2549811" cy="218948"/>
        </a:xfrm>
        <a:prstGeom prst="line">
          <a:avLst/>
        </a:prstGeom>
        <a:ln w="1270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280916</xdr:colOff>
      <xdr:row>142</xdr:row>
      <xdr:rowOff>168728</xdr:rowOff>
    </xdr:from>
    <xdr:to>
      <xdr:col>22</xdr:col>
      <xdr:colOff>317820</xdr:colOff>
      <xdr:row>143</xdr:row>
      <xdr:rowOff>113819</xdr:rowOff>
    </xdr:to>
    <xdr:cxnSp macro="">
      <xdr:nvCxnSpPr>
        <xdr:cNvPr id="74" name="直線コネクタ 73">
          <a:extLst>
            <a:ext uri="{FF2B5EF4-FFF2-40B4-BE49-F238E27FC236}">
              <a16:creationId xmlns:a16="http://schemas.microsoft.com/office/drawing/2014/main" id="{C5AAF341-971B-4B90-9154-6283952891C7}"/>
            </a:ext>
          </a:extLst>
        </xdr:cNvPr>
        <xdr:cNvCxnSpPr>
          <a:stCxn id="63" idx="7"/>
          <a:endCxn id="65" idx="2"/>
        </xdr:cNvCxnSpPr>
      </xdr:nvCxnSpPr>
      <xdr:spPr>
        <a:xfrm flipV="1">
          <a:off x="6728608" y="30187132"/>
          <a:ext cx="681674" cy="142918"/>
        </a:xfrm>
        <a:prstGeom prst="line">
          <a:avLst/>
        </a:prstGeom>
        <a:ln w="1270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88592</xdr:colOff>
      <xdr:row>142</xdr:row>
      <xdr:rowOff>168728</xdr:rowOff>
    </xdr:from>
    <xdr:to>
      <xdr:col>20</xdr:col>
      <xdr:colOff>101450</xdr:colOff>
      <xdr:row>143</xdr:row>
      <xdr:rowOff>189849</xdr:rowOff>
    </xdr:to>
    <xdr:cxnSp macro="">
      <xdr:nvCxnSpPr>
        <xdr:cNvPr id="77" name="直線コネクタ 76">
          <a:extLst>
            <a:ext uri="{FF2B5EF4-FFF2-40B4-BE49-F238E27FC236}">
              <a16:creationId xmlns:a16="http://schemas.microsoft.com/office/drawing/2014/main" id="{514175B1-987B-4144-9A22-38B135CAC992}"/>
            </a:ext>
          </a:extLst>
        </xdr:cNvPr>
        <xdr:cNvCxnSpPr>
          <a:stCxn id="63" idx="2"/>
          <a:endCxn id="64" idx="2"/>
        </xdr:cNvCxnSpPr>
      </xdr:nvCxnSpPr>
      <xdr:spPr>
        <a:xfrm flipH="1" flipV="1">
          <a:off x="4279592" y="30187132"/>
          <a:ext cx="2269550" cy="218948"/>
        </a:xfrm>
        <a:prstGeom prst="line">
          <a:avLst/>
        </a:prstGeom>
        <a:ln w="1270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101450</xdr:colOff>
      <xdr:row>143</xdr:row>
      <xdr:rowOff>82327</xdr:rowOff>
    </xdr:from>
    <xdr:to>
      <xdr:col>20</xdr:col>
      <xdr:colOff>311708</xdr:colOff>
      <xdr:row>144</xdr:row>
      <xdr:rowOff>99544</xdr:rowOff>
    </xdr:to>
    <xdr:sp macro="" textlink="">
      <xdr:nvSpPr>
        <xdr:cNvPr id="63" name="楕円 62">
          <a:extLst>
            <a:ext uri="{FF2B5EF4-FFF2-40B4-BE49-F238E27FC236}">
              <a16:creationId xmlns:a16="http://schemas.microsoft.com/office/drawing/2014/main" id="{70941B15-9729-4E07-303B-531AAC626C8F}"/>
            </a:ext>
          </a:extLst>
        </xdr:cNvPr>
        <xdr:cNvSpPr/>
      </xdr:nvSpPr>
      <xdr:spPr>
        <a:xfrm>
          <a:off x="6549142" y="30298558"/>
          <a:ext cx="210258" cy="215044"/>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2</a:t>
          </a:r>
          <a:endParaRPr kumimoji="1" lang="ja-JP" altLang="en-US" sz="1100" b="1"/>
        </a:p>
      </xdr:txBody>
    </xdr:sp>
    <xdr:clientData/>
  </xdr:twoCellAnchor>
  <xdr:twoCellAnchor>
    <xdr:from>
      <xdr:col>6</xdr:col>
      <xdr:colOff>162787</xdr:colOff>
      <xdr:row>135</xdr:row>
      <xdr:rowOff>36901</xdr:rowOff>
    </xdr:from>
    <xdr:to>
      <xdr:col>7</xdr:col>
      <xdr:colOff>54849</xdr:colOff>
      <xdr:row>136</xdr:row>
      <xdr:rowOff>54117</xdr:rowOff>
    </xdr:to>
    <xdr:sp macro="" textlink="">
      <xdr:nvSpPr>
        <xdr:cNvPr id="92" name="楕円 91">
          <a:extLst>
            <a:ext uri="{FF2B5EF4-FFF2-40B4-BE49-F238E27FC236}">
              <a16:creationId xmlns:a16="http://schemas.microsoft.com/office/drawing/2014/main" id="{29E1EA39-0C50-B3D5-B651-75EF383A85A7}"/>
            </a:ext>
          </a:extLst>
        </xdr:cNvPr>
        <xdr:cNvSpPr/>
      </xdr:nvSpPr>
      <xdr:spPr>
        <a:xfrm>
          <a:off x="2097095" y="28670516"/>
          <a:ext cx="214446" cy="215043"/>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1</a:t>
          </a:r>
          <a:endParaRPr kumimoji="1" lang="ja-JP" altLang="en-US" sz="1100" b="1"/>
        </a:p>
      </xdr:txBody>
    </xdr:sp>
    <xdr:clientData/>
  </xdr:twoCellAnchor>
  <xdr:twoCellAnchor editAs="oneCell">
    <xdr:from>
      <xdr:col>3</xdr:col>
      <xdr:colOff>0</xdr:colOff>
      <xdr:row>186</xdr:row>
      <xdr:rowOff>0</xdr:rowOff>
    </xdr:from>
    <xdr:to>
      <xdr:col>35</xdr:col>
      <xdr:colOff>0</xdr:colOff>
      <xdr:row>198</xdr:row>
      <xdr:rowOff>67130</xdr:rowOff>
    </xdr:to>
    <xdr:pic>
      <xdr:nvPicPr>
        <xdr:cNvPr id="93" name="グラフィックス 92">
          <a:extLst>
            <a:ext uri="{FF2B5EF4-FFF2-40B4-BE49-F238E27FC236}">
              <a16:creationId xmlns:a16="http://schemas.microsoft.com/office/drawing/2014/main" id="{8C1B43DF-A8A0-9AC4-4C42-280A33592B14}"/>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971550" y="39090600"/>
          <a:ext cx="10363200" cy="2467429"/>
        </a:xfrm>
        <a:prstGeom prst="rect">
          <a:avLst/>
        </a:prstGeom>
      </xdr:spPr>
    </xdr:pic>
    <xdr:clientData/>
  </xdr:twoCellAnchor>
  <xdr:twoCellAnchor>
    <xdr:from>
      <xdr:col>3</xdr:col>
      <xdr:colOff>258827</xdr:colOff>
      <xdr:row>188</xdr:row>
      <xdr:rowOff>121837</xdr:rowOff>
    </xdr:from>
    <xdr:to>
      <xdr:col>7</xdr:col>
      <xdr:colOff>288471</xdr:colOff>
      <xdr:row>195</xdr:row>
      <xdr:rowOff>149678</xdr:rowOff>
    </xdr:to>
    <xdr:sp macro="" textlink="">
      <xdr:nvSpPr>
        <xdr:cNvPr id="94" name="正方形/長方形 93">
          <a:extLst>
            <a:ext uri="{FF2B5EF4-FFF2-40B4-BE49-F238E27FC236}">
              <a16:creationId xmlns:a16="http://schemas.microsoft.com/office/drawing/2014/main" id="{657019F1-CDCB-ADCB-713B-DDBC821B93CC}"/>
            </a:ext>
          </a:extLst>
        </xdr:cNvPr>
        <xdr:cNvSpPr/>
      </xdr:nvSpPr>
      <xdr:spPr>
        <a:xfrm>
          <a:off x="1238541" y="39854694"/>
          <a:ext cx="1335930" cy="143754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51998</xdr:colOff>
      <xdr:row>188</xdr:row>
      <xdr:rowOff>121837</xdr:rowOff>
    </xdr:from>
    <xdr:to>
      <xdr:col>14</xdr:col>
      <xdr:colOff>148590</xdr:colOff>
      <xdr:row>195</xdr:row>
      <xdr:rowOff>149678</xdr:rowOff>
    </xdr:to>
    <xdr:sp macro="" textlink="">
      <xdr:nvSpPr>
        <xdr:cNvPr id="95" name="正方形/長方形 94">
          <a:extLst>
            <a:ext uri="{FF2B5EF4-FFF2-40B4-BE49-F238E27FC236}">
              <a16:creationId xmlns:a16="http://schemas.microsoft.com/office/drawing/2014/main" id="{8C2D451E-5A64-C476-CC3D-A8644D11A0C8}"/>
            </a:ext>
          </a:extLst>
        </xdr:cNvPr>
        <xdr:cNvSpPr/>
      </xdr:nvSpPr>
      <xdr:spPr>
        <a:xfrm>
          <a:off x="3938198" y="39959197"/>
          <a:ext cx="744292" cy="144135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220727</xdr:colOff>
      <xdr:row>188</xdr:row>
      <xdr:rowOff>121837</xdr:rowOff>
    </xdr:from>
    <xdr:to>
      <xdr:col>24</xdr:col>
      <xdr:colOff>92529</xdr:colOff>
      <xdr:row>195</xdr:row>
      <xdr:rowOff>149678</xdr:rowOff>
    </xdr:to>
    <xdr:sp macro="" textlink="">
      <xdr:nvSpPr>
        <xdr:cNvPr id="96" name="正方形/長方形 95">
          <a:extLst>
            <a:ext uri="{FF2B5EF4-FFF2-40B4-BE49-F238E27FC236}">
              <a16:creationId xmlns:a16="http://schemas.microsoft.com/office/drawing/2014/main" id="{C32A6BCE-162E-D76C-8BB9-BE411B6A522E}"/>
            </a:ext>
          </a:extLst>
        </xdr:cNvPr>
        <xdr:cNvSpPr/>
      </xdr:nvSpPr>
      <xdr:spPr>
        <a:xfrm>
          <a:off x="7021577" y="39612487"/>
          <a:ext cx="843352" cy="1428016"/>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166299</xdr:colOff>
      <xdr:row>188</xdr:row>
      <xdr:rowOff>121837</xdr:rowOff>
    </xdr:from>
    <xdr:to>
      <xdr:col>31</xdr:col>
      <xdr:colOff>76200</xdr:colOff>
      <xdr:row>195</xdr:row>
      <xdr:rowOff>149678</xdr:rowOff>
    </xdr:to>
    <xdr:sp macro="" textlink="">
      <xdr:nvSpPr>
        <xdr:cNvPr id="97" name="正方形/長方形 96">
          <a:extLst>
            <a:ext uri="{FF2B5EF4-FFF2-40B4-BE49-F238E27FC236}">
              <a16:creationId xmlns:a16="http://schemas.microsoft.com/office/drawing/2014/main" id="{B2D279C0-AFBE-4798-33DB-C83D05ECE260}"/>
            </a:ext>
          </a:extLst>
        </xdr:cNvPr>
        <xdr:cNvSpPr/>
      </xdr:nvSpPr>
      <xdr:spPr>
        <a:xfrm>
          <a:off x="8586399" y="39612487"/>
          <a:ext cx="1529151" cy="1428016"/>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106426</xdr:colOff>
      <xdr:row>187</xdr:row>
      <xdr:rowOff>45636</xdr:rowOff>
    </xdr:from>
    <xdr:to>
      <xdr:col>24</xdr:col>
      <xdr:colOff>92528</xdr:colOff>
      <xdr:row>187</xdr:row>
      <xdr:rowOff>166007</xdr:rowOff>
    </xdr:to>
    <xdr:sp macro="" textlink="">
      <xdr:nvSpPr>
        <xdr:cNvPr id="98" name="正方形/長方形 97">
          <a:extLst>
            <a:ext uri="{FF2B5EF4-FFF2-40B4-BE49-F238E27FC236}">
              <a16:creationId xmlns:a16="http://schemas.microsoft.com/office/drawing/2014/main" id="{23BA6D9D-4FFC-7EBE-9FE8-752382D870F3}"/>
            </a:ext>
          </a:extLst>
        </xdr:cNvPr>
        <xdr:cNvSpPr/>
      </xdr:nvSpPr>
      <xdr:spPr>
        <a:xfrm>
          <a:off x="6583426" y="39336261"/>
          <a:ext cx="1281502" cy="12037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52883</xdr:colOff>
      <xdr:row>186</xdr:row>
      <xdr:rowOff>83793</xdr:rowOff>
    </xdr:from>
    <xdr:to>
      <xdr:col>24</xdr:col>
      <xdr:colOff>267329</xdr:colOff>
      <xdr:row>187</xdr:row>
      <xdr:rowOff>101010</xdr:rowOff>
    </xdr:to>
    <xdr:sp macro="" textlink="">
      <xdr:nvSpPr>
        <xdr:cNvPr id="99" name="楕円 98">
          <a:extLst>
            <a:ext uri="{FF2B5EF4-FFF2-40B4-BE49-F238E27FC236}">
              <a16:creationId xmlns:a16="http://schemas.microsoft.com/office/drawing/2014/main" id="{F58B272D-1A01-9DBB-660A-77B7373BC841}"/>
            </a:ext>
          </a:extLst>
        </xdr:cNvPr>
        <xdr:cNvSpPr/>
      </xdr:nvSpPr>
      <xdr:spPr>
        <a:xfrm>
          <a:off x="7825283" y="39174393"/>
          <a:ext cx="214446" cy="217242"/>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5</a:t>
          </a:r>
          <a:endParaRPr kumimoji="1" lang="ja-JP" altLang="en-US" sz="1100" b="1"/>
        </a:p>
      </xdr:txBody>
    </xdr:sp>
    <xdr:clientData/>
  </xdr:twoCellAnchor>
  <xdr:twoCellAnchor>
    <xdr:from>
      <xdr:col>33</xdr:col>
      <xdr:colOff>212272</xdr:colOff>
      <xdr:row>187</xdr:row>
      <xdr:rowOff>45637</xdr:rowOff>
    </xdr:from>
    <xdr:to>
      <xdr:col>34</xdr:col>
      <xdr:colOff>179614</xdr:colOff>
      <xdr:row>187</xdr:row>
      <xdr:rowOff>171450</xdr:rowOff>
    </xdr:to>
    <xdr:sp macro="" textlink="">
      <xdr:nvSpPr>
        <xdr:cNvPr id="100" name="正方形/長方形 99">
          <a:extLst>
            <a:ext uri="{FF2B5EF4-FFF2-40B4-BE49-F238E27FC236}">
              <a16:creationId xmlns:a16="http://schemas.microsoft.com/office/drawing/2014/main" id="{595C194C-6EB4-0C0E-C66A-FF0F5880AD04}"/>
            </a:ext>
          </a:extLst>
        </xdr:cNvPr>
        <xdr:cNvSpPr/>
      </xdr:nvSpPr>
      <xdr:spPr>
        <a:xfrm>
          <a:off x="10899322" y="39336262"/>
          <a:ext cx="291192" cy="125813"/>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161739</xdr:colOff>
      <xdr:row>186</xdr:row>
      <xdr:rowOff>121893</xdr:rowOff>
    </xdr:from>
    <xdr:to>
      <xdr:col>35</xdr:col>
      <xdr:colOff>49614</xdr:colOff>
      <xdr:row>187</xdr:row>
      <xdr:rowOff>139110</xdr:rowOff>
    </xdr:to>
    <xdr:sp macro="" textlink="">
      <xdr:nvSpPr>
        <xdr:cNvPr id="101" name="楕円 100">
          <a:extLst>
            <a:ext uri="{FF2B5EF4-FFF2-40B4-BE49-F238E27FC236}">
              <a16:creationId xmlns:a16="http://schemas.microsoft.com/office/drawing/2014/main" id="{933E15EF-2523-452D-E934-986118A278CF}"/>
            </a:ext>
          </a:extLst>
        </xdr:cNvPr>
        <xdr:cNvSpPr/>
      </xdr:nvSpPr>
      <xdr:spPr>
        <a:xfrm>
          <a:off x="11172639" y="39212493"/>
          <a:ext cx="211725" cy="217242"/>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6</a:t>
          </a:r>
          <a:endParaRPr kumimoji="1" lang="ja-JP" altLang="en-US" sz="1100" b="1"/>
        </a:p>
      </xdr:txBody>
    </xdr:sp>
    <xdr:clientData/>
  </xdr:twoCellAnchor>
  <xdr:twoCellAnchor>
    <xdr:from>
      <xdr:col>20</xdr:col>
      <xdr:colOff>311708</xdr:colOff>
      <xdr:row>195</xdr:row>
      <xdr:rowOff>149678</xdr:rowOff>
    </xdr:from>
    <xdr:to>
      <xdr:col>28</xdr:col>
      <xdr:colOff>282442</xdr:colOff>
      <xdr:row>196</xdr:row>
      <xdr:rowOff>170799</xdr:rowOff>
    </xdr:to>
    <xdr:cxnSp macro="">
      <xdr:nvCxnSpPr>
        <xdr:cNvPr id="102" name="直線コネクタ 101">
          <a:extLst>
            <a:ext uri="{FF2B5EF4-FFF2-40B4-BE49-F238E27FC236}">
              <a16:creationId xmlns:a16="http://schemas.microsoft.com/office/drawing/2014/main" id="{2E1792F1-5B3D-2B33-052E-D9F6BBF1AEEA}"/>
            </a:ext>
          </a:extLst>
        </xdr:cNvPr>
        <xdr:cNvCxnSpPr>
          <a:stCxn id="105" idx="6"/>
          <a:endCxn id="97" idx="2"/>
        </xdr:cNvCxnSpPr>
      </xdr:nvCxnSpPr>
      <xdr:spPr>
        <a:xfrm flipV="1">
          <a:off x="6788708" y="41040503"/>
          <a:ext cx="2561534" cy="221146"/>
        </a:xfrm>
        <a:prstGeom prst="line">
          <a:avLst/>
        </a:prstGeom>
        <a:ln w="1270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280916</xdr:colOff>
      <xdr:row>195</xdr:row>
      <xdr:rowOff>149678</xdr:rowOff>
    </xdr:from>
    <xdr:to>
      <xdr:col>22</xdr:col>
      <xdr:colOff>317820</xdr:colOff>
      <xdr:row>196</xdr:row>
      <xdr:rowOff>94769</xdr:rowOff>
    </xdr:to>
    <xdr:cxnSp macro="">
      <xdr:nvCxnSpPr>
        <xdr:cNvPr id="103" name="直線コネクタ 102">
          <a:extLst>
            <a:ext uri="{FF2B5EF4-FFF2-40B4-BE49-F238E27FC236}">
              <a16:creationId xmlns:a16="http://schemas.microsoft.com/office/drawing/2014/main" id="{4692691F-4FDE-0116-21DE-97CD8F400AFB}"/>
            </a:ext>
          </a:extLst>
        </xdr:cNvPr>
        <xdr:cNvCxnSpPr>
          <a:stCxn id="105" idx="7"/>
          <a:endCxn id="96" idx="2"/>
        </xdr:cNvCxnSpPr>
      </xdr:nvCxnSpPr>
      <xdr:spPr>
        <a:xfrm flipV="1">
          <a:off x="6757916" y="41040503"/>
          <a:ext cx="684604" cy="145116"/>
        </a:xfrm>
        <a:prstGeom prst="line">
          <a:avLst/>
        </a:prstGeom>
        <a:ln w="1270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100294</xdr:colOff>
      <xdr:row>195</xdr:row>
      <xdr:rowOff>149678</xdr:rowOff>
    </xdr:from>
    <xdr:to>
      <xdr:col>20</xdr:col>
      <xdr:colOff>101450</xdr:colOff>
      <xdr:row>196</xdr:row>
      <xdr:rowOff>172851</xdr:rowOff>
    </xdr:to>
    <xdr:cxnSp macro="">
      <xdr:nvCxnSpPr>
        <xdr:cNvPr id="104" name="直線コネクタ 103">
          <a:extLst>
            <a:ext uri="{FF2B5EF4-FFF2-40B4-BE49-F238E27FC236}">
              <a16:creationId xmlns:a16="http://schemas.microsoft.com/office/drawing/2014/main" id="{D86C6F00-C79F-DC36-1189-1CBFA592D31B}"/>
            </a:ext>
          </a:extLst>
        </xdr:cNvPr>
        <xdr:cNvCxnSpPr>
          <a:stCxn id="105" idx="2"/>
          <a:endCxn id="95" idx="2"/>
        </xdr:cNvCxnSpPr>
      </xdr:nvCxnSpPr>
      <xdr:spPr>
        <a:xfrm flipH="1" flipV="1">
          <a:off x="4310344" y="41400548"/>
          <a:ext cx="2268106" cy="225103"/>
        </a:xfrm>
        <a:prstGeom prst="line">
          <a:avLst/>
        </a:prstGeom>
        <a:ln w="1270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101450</xdr:colOff>
      <xdr:row>196</xdr:row>
      <xdr:rowOff>63277</xdr:rowOff>
    </xdr:from>
    <xdr:to>
      <xdr:col>20</xdr:col>
      <xdr:colOff>311708</xdr:colOff>
      <xdr:row>197</xdr:row>
      <xdr:rowOff>80494</xdr:rowOff>
    </xdr:to>
    <xdr:sp macro="" textlink="">
      <xdr:nvSpPr>
        <xdr:cNvPr id="105" name="楕円 104">
          <a:extLst>
            <a:ext uri="{FF2B5EF4-FFF2-40B4-BE49-F238E27FC236}">
              <a16:creationId xmlns:a16="http://schemas.microsoft.com/office/drawing/2014/main" id="{236300C5-8B20-ED53-63B1-19947DF16244}"/>
            </a:ext>
          </a:extLst>
        </xdr:cNvPr>
        <xdr:cNvSpPr/>
      </xdr:nvSpPr>
      <xdr:spPr>
        <a:xfrm>
          <a:off x="6578450" y="41154127"/>
          <a:ext cx="210258" cy="217242"/>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4</a:t>
          </a:r>
          <a:endParaRPr kumimoji="1" lang="ja-JP" altLang="en-US" sz="1100" b="1"/>
        </a:p>
      </xdr:txBody>
    </xdr:sp>
    <xdr:clientData/>
  </xdr:twoCellAnchor>
  <xdr:twoCellAnchor>
    <xdr:from>
      <xdr:col>7</xdr:col>
      <xdr:colOff>260759</xdr:colOff>
      <xdr:row>188</xdr:row>
      <xdr:rowOff>17851</xdr:rowOff>
    </xdr:from>
    <xdr:to>
      <xdr:col>8</xdr:col>
      <xdr:colOff>152821</xdr:colOff>
      <xdr:row>189</xdr:row>
      <xdr:rowOff>35067</xdr:rowOff>
    </xdr:to>
    <xdr:sp macro="" textlink="">
      <xdr:nvSpPr>
        <xdr:cNvPr id="106" name="楕円 105">
          <a:extLst>
            <a:ext uri="{FF2B5EF4-FFF2-40B4-BE49-F238E27FC236}">
              <a16:creationId xmlns:a16="http://schemas.microsoft.com/office/drawing/2014/main" id="{5EB38383-B83D-CF55-AD8F-161F9AD45089}"/>
            </a:ext>
          </a:extLst>
        </xdr:cNvPr>
        <xdr:cNvSpPr/>
      </xdr:nvSpPr>
      <xdr:spPr>
        <a:xfrm>
          <a:off x="2546759" y="39750708"/>
          <a:ext cx="218633" cy="218602"/>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1</a:t>
          </a:r>
          <a:endParaRPr kumimoji="1" lang="ja-JP" altLang="en-US" sz="1100" b="1"/>
        </a:p>
      </xdr:txBody>
    </xdr:sp>
    <xdr:clientData/>
  </xdr:twoCellAnchor>
  <xdr:twoCellAnchor>
    <xdr:from>
      <xdr:col>8</xdr:col>
      <xdr:colOff>215284</xdr:colOff>
      <xdr:row>188</xdr:row>
      <xdr:rowOff>121837</xdr:rowOff>
    </xdr:from>
    <xdr:to>
      <xdr:col>12</xdr:col>
      <xdr:colOff>21772</xdr:colOff>
      <xdr:row>195</xdr:row>
      <xdr:rowOff>149678</xdr:rowOff>
    </xdr:to>
    <xdr:sp macro="" textlink="">
      <xdr:nvSpPr>
        <xdr:cNvPr id="108" name="正方形/長方形 107">
          <a:extLst>
            <a:ext uri="{FF2B5EF4-FFF2-40B4-BE49-F238E27FC236}">
              <a16:creationId xmlns:a16="http://schemas.microsoft.com/office/drawing/2014/main" id="{EEFF3A1C-C819-401C-970E-E5CAC639F0E8}"/>
            </a:ext>
          </a:extLst>
        </xdr:cNvPr>
        <xdr:cNvSpPr/>
      </xdr:nvSpPr>
      <xdr:spPr>
        <a:xfrm>
          <a:off x="2827855" y="39854694"/>
          <a:ext cx="1112774" cy="143754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130130</xdr:colOff>
      <xdr:row>188</xdr:row>
      <xdr:rowOff>17851</xdr:rowOff>
    </xdr:from>
    <xdr:to>
      <xdr:col>12</xdr:col>
      <xdr:colOff>22192</xdr:colOff>
      <xdr:row>189</xdr:row>
      <xdr:rowOff>35067</xdr:rowOff>
    </xdr:to>
    <xdr:sp macro="" textlink="">
      <xdr:nvSpPr>
        <xdr:cNvPr id="110" name="楕円 109">
          <a:extLst>
            <a:ext uri="{FF2B5EF4-FFF2-40B4-BE49-F238E27FC236}">
              <a16:creationId xmlns:a16="http://schemas.microsoft.com/office/drawing/2014/main" id="{0C48809F-F148-7BF8-90FE-11199047C352}"/>
            </a:ext>
          </a:extLst>
        </xdr:cNvPr>
        <xdr:cNvSpPr/>
      </xdr:nvSpPr>
      <xdr:spPr>
        <a:xfrm>
          <a:off x="3722416" y="39750708"/>
          <a:ext cx="218633" cy="218602"/>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2</a:t>
          </a:r>
          <a:endParaRPr kumimoji="1" lang="ja-JP" altLang="en-US" sz="1100" b="1"/>
        </a:p>
      </xdr:txBody>
    </xdr:sp>
    <xdr:clientData/>
  </xdr:twoCellAnchor>
  <xdr:twoCellAnchor>
    <xdr:from>
      <xdr:col>14</xdr:col>
      <xdr:colOff>167640</xdr:colOff>
      <xdr:row>188</xdr:row>
      <xdr:rowOff>121837</xdr:rowOff>
    </xdr:from>
    <xdr:to>
      <xdr:col>18</xdr:col>
      <xdr:colOff>32657</xdr:colOff>
      <xdr:row>195</xdr:row>
      <xdr:rowOff>149678</xdr:rowOff>
    </xdr:to>
    <xdr:sp macro="" textlink="">
      <xdr:nvSpPr>
        <xdr:cNvPr id="112" name="正方形/長方形 111">
          <a:extLst>
            <a:ext uri="{FF2B5EF4-FFF2-40B4-BE49-F238E27FC236}">
              <a16:creationId xmlns:a16="http://schemas.microsoft.com/office/drawing/2014/main" id="{D184D917-D3AE-7C9C-1B59-339C38C0B6A1}"/>
            </a:ext>
          </a:extLst>
        </xdr:cNvPr>
        <xdr:cNvSpPr/>
      </xdr:nvSpPr>
      <xdr:spPr>
        <a:xfrm>
          <a:off x="4701540" y="39959197"/>
          <a:ext cx="1160417" cy="144135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326074</xdr:colOff>
      <xdr:row>188</xdr:row>
      <xdr:rowOff>17851</xdr:rowOff>
    </xdr:from>
    <xdr:to>
      <xdr:col>18</xdr:col>
      <xdr:colOff>218135</xdr:colOff>
      <xdr:row>189</xdr:row>
      <xdr:rowOff>35067</xdr:rowOff>
    </xdr:to>
    <xdr:sp macro="" textlink="">
      <xdr:nvSpPr>
        <xdr:cNvPr id="113" name="楕円 112">
          <a:extLst>
            <a:ext uri="{FF2B5EF4-FFF2-40B4-BE49-F238E27FC236}">
              <a16:creationId xmlns:a16="http://schemas.microsoft.com/office/drawing/2014/main" id="{EDA0E283-B6A1-6642-5684-15B494D71E73}"/>
            </a:ext>
          </a:extLst>
        </xdr:cNvPr>
        <xdr:cNvSpPr/>
      </xdr:nvSpPr>
      <xdr:spPr>
        <a:xfrm>
          <a:off x="5877788" y="39750708"/>
          <a:ext cx="218633" cy="218602"/>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3</a:t>
          </a:r>
          <a:endParaRPr kumimoji="1" lang="ja-JP" altLang="en-US" sz="1100" b="1"/>
        </a:p>
      </xdr:txBody>
    </xdr:sp>
    <xdr:clientData/>
  </xdr:twoCellAnchor>
</xdr:wsDr>
</file>

<file path=xl/theme/theme1.xml><?xml version="1.0" encoding="utf-8"?>
<a:theme xmlns:a="http://schemas.openxmlformats.org/drawingml/2006/main" name="Office Theme">
  <a:themeElements>
    <a:clrScheme name="ユーザー定義 4">
      <a:dk1>
        <a:sysClr val="windowText" lastClr="000000"/>
      </a:dk1>
      <a:lt1>
        <a:sysClr val="window" lastClr="FFFFFF"/>
      </a:lt1>
      <a:dk2>
        <a:srgbClr val="0E2841"/>
      </a:dk2>
      <a:lt2>
        <a:srgbClr val="E8E8E8"/>
      </a:lt2>
      <a:accent1>
        <a:srgbClr val="EF4898"/>
      </a:accent1>
      <a:accent2>
        <a:srgbClr val="EB6F8B"/>
      </a:accent2>
      <a:accent3>
        <a:srgbClr val="F5B693"/>
      </a:accent3>
      <a:accent4>
        <a:srgbClr val="FBE89B"/>
      </a:accent4>
      <a:accent5>
        <a:srgbClr val="094EB8"/>
      </a:accent5>
      <a:accent6>
        <a:srgbClr val="00B0F0"/>
      </a:accent6>
      <a:hlink>
        <a:srgbClr val="0070C0"/>
      </a:hlink>
      <a:folHlink>
        <a:srgbClr val="C00000"/>
      </a:folHlink>
    </a:clrScheme>
    <a:fontScheme name="Meiryo UI">
      <a:majorFont>
        <a:latin typeface="Meiryo UI"/>
        <a:ea typeface="Meiryo UI"/>
        <a:cs typeface=""/>
      </a:majorFont>
      <a:minorFont>
        <a:latin typeface="Meiryo UI"/>
        <a:ea typeface="Meiryo UI"/>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84562-22D4-4E6F-9E21-6D28EF09A38F}">
  <dimension ref="B2:AJ208"/>
  <sheetViews>
    <sheetView showGridLines="0" tabSelected="1" zoomScaleNormal="100" workbookViewId="0"/>
  </sheetViews>
  <sheetFormatPr defaultColWidth="3.77734375" defaultRowHeight="15"/>
  <cols>
    <col min="1" max="2" width="3.77734375" style="67"/>
    <col min="3" max="3" width="3.77734375" style="96"/>
    <col min="4" max="16384" width="3.77734375" style="67"/>
  </cols>
  <sheetData>
    <row r="2" spans="2:36">
      <c r="B2" s="65"/>
      <c r="C2" s="66"/>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row>
    <row r="3" spans="2:36" ht="19.5">
      <c r="B3" s="65"/>
      <c r="C3" s="68" t="s">
        <v>0</v>
      </c>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5"/>
    </row>
    <row r="4" spans="2:36">
      <c r="B4" s="65"/>
      <c r="C4" s="70"/>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65"/>
    </row>
    <row r="5" spans="2:36">
      <c r="B5" s="65"/>
      <c r="C5" s="70"/>
      <c r="D5" s="71" t="s">
        <v>1</v>
      </c>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65"/>
    </row>
    <row r="6" spans="2:36">
      <c r="B6" s="65"/>
      <c r="C6" s="70"/>
      <c r="D6" s="71" t="s">
        <v>2</v>
      </c>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65"/>
    </row>
    <row r="7" spans="2:36">
      <c r="B7" s="65"/>
      <c r="C7" s="70"/>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65"/>
    </row>
    <row r="8" spans="2:36">
      <c r="B8" s="65"/>
      <c r="C8" s="70"/>
      <c r="D8" s="71"/>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65"/>
    </row>
    <row r="9" spans="2:36" ht="19.5">
      <c r="B9" s="65"/>
      <c r="C9" s="68" t="s">
        <v>3</v>
      </c>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5"/>
    </row>
    <row r="10" spans="2:36">
      <c r="B10" s="65"/>
      <c r="C10" s="72"/>
      <c r="D10" s="73"/>
      <c r="E10" s="73"/>
      <c r="F10" s="73"/>
      <c r="G10" s="73"/>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65"/>
    </row>
    <row r="11" spans="2:36" s="2" customFormat="1" ht="19.5">
      <c r="B11" s="74"/>
      <c r="C11" s="75"/>
      <c r="D11" s="196" t="s">
        <v>4</v>
      </c>
      <c r="E11" s="196"/>
      <c r="F11" s="196"/>
      <c r="G11" s="196"/>
      <c r="H11" s="196"/>
      <c r="I11" s="196"/>
      <c r="J11" s="196"/>
      <c r="K11" s="196"/>
      <c r="L11" s="196" t="s">
        <v>5</v>
      </c>
      <c r="M11" s="196"/>
      <c r="N11" s="196"/>
      <c r="O11" s="196"/>
      <c r="P11" s="196"/>
      <c r="Q11" s="196"/>
      <c r="R11" s="196"/>
      <c r="S11" s="196"/>
      <c r="T11" s="196"/>
      <c r="U11" s="196"/>
      <c r="V11" s="196"/>
      <c r="W11" s="196"/>
      <c r="X11" s="196"/>
      <c r="Y11" s="196"/>
      <c r="Z11" s="196"/>
      <c r="AA11" s="196"/>
      <c r="AB11" s="196"/>
      <c r="AC11" s="196"/>
      <c r="AD11" s="196"/>
      <c r="AE11" s="196"/>
      <c r="AF11" s="196"/>
      <c r="AG11" s="196"/>
      <c r="AH11" s="196"/>
      <c r="AI11" s="74"/>
      <c r="AJ11" s="74"/>
    </row>
    <row r="12" spans="2:36" s="2" customFormat="1" ht="38.25" customHeight="1">
      <c r="B12" s="74"/>
      <c r="C12" s="75"/>
      <c r="D12" s="193" t="s">
        <v>6</v>
      </c>
      <c r="E12" s="193"/>
      <c r="F12" s="193"/>
      <c r="G12" s="193"/>
      <c r="H12" s="193"/>
      <c r="I12" s="193"/>
      <c r="J12" s="193"/>
      <c r="K12" s="193"/>
      <c r="L12" s="195" t="s">
        <v>7</v>
      </c>
      <c r="M12" s="195"/>
      <c r="N12" s="195"/>
      <c r="O12" s="195"/>
      <c r="P12" s="195"/>
      <c r="Q12" s="195"/>
      <c r="R12" s="195"/>
      <c r="S12" s="195"/>
      <c r="T12" s="195"/>
      <c r="U12" s="195"/>
      <c r="V12" s="195"/>
      <c r="W12" s="195"/>
      <c r="X12" s="195"/>
      <c r="Y12" s="195"/>
      <c r="Z12" s="195"/>
      <c r="AA12" s="195"/>
      <c r="AB12" s="195"/>
      <c r="AC12" s="195"/>
      <c r="AD12" s="195"/>
      <c r="AE12" s="195"/>
      <c r="AF12" s="195"/>
      <c r="AG12" s="195"/>
      <c r="AH12" s="195"/>
      <c r="AI12" s="74"/>
      <c r="AJ12" s="74"/>
    </row>
    <row r="13" spans="2:36" s="2" customFormat="1" ht="53.25" customHeight="1">
      <c r="B13" s="74"/>
      <c r="C13" s="75"/>
      <c r="D13" s="192" t="s">
        <v>8</v>
      </c>
      <c r="E13" s="193"/>
      <c r="F13" s="193"/>
      <c r="G13" s="193"/>
      <c r="H13" s="193"/>
      <c r="I13" s="193"/>
      <c r="J13" s="193"/>
      <c r="K13" s="193"/>
      <c r="L13" s="194" t="s">
        <v>9</v>
      </c>
      <c r="M13" s="195"/>
      <c r="N13" s="195"/>
      <c r="O13" s="195"/>
      <c r="P13" s="195"/>
      <c r="Q13" s="195"/>
      <c r="R13" s="195"/>
      <c r="S13" s="195"/>
      <c r="T13" s="195"/>
      <c r="U13" s="195"/>
      <c r="V13" s="195"/>
      <c r="W13" s="195"/>
      <c r="X13" s="195"/>
      <c r="Y13" s="195"/>
      <c r="Z13" s="195"/>
      <c r="AA13" s="195"/>
      <c r="AB13" s="195"/>
      <c r="AC13" s="195"/>
      <c r="AD13" s="195"/>
      <c r="AE13" s="195"/>
      <c r="AF13" s="195"/>
      <c r="AG13" s="195"/>
      <c r="AH13" s="195"/>
      <c r="AI13" s="74"/>
      <c r="AJ13" s="74"/>
    </row>
    <row r="14" spans="2:36" s="2" customFormat="1" ht="53.25" customHeight="1">
      <c r="B14" s="74"/>
      <c r="C14" s="75"/>
      <c r="D14" s="192" t="s">
        <v>10</v>
      </c>
      <c r="E14" s="193"/>
      <c r="F14" s="193"/>
      <c r="G14" s="193"/>
      <c r="H14" s="193"/>
      <c r="I14" s="193"/>
      <c r="J14" s="193"/>
      <c r="K14" s="193"/>
      <c r="L14" s="194" t="s">
        <v>11</v>
      </c>
      <c r="M14" s="195"/>
      <c r="N14" s="195"/>
      <c r="O14" s="195"/>
      <c r="P14" s="195"/>
      <c r="Q14" s="195"/>
      <c r="R14" s="195"/>
      <c r="S14" s="195"/>
      <c r="T14" s="195"/>
      <c r="U14" s="195"/>
      <c r="V14" s="195"/>
      <c r="W14" s="195"/>
      <c r="X14" s="195"/>
      <c r="Y14" s="195"/>
      <c r="Z14" s="195"/>
      <c r="AA14" s="195"/>
      <c r="AB14" s="195"/>
      <c r="AC14" s="195"/>
      <c r="AD14" s="195"/>
      <c r="AE14" s="195"/>
      <c r="AF14" s="195"/>
      <c r="AG14" s="195"/>
      <c r="AH14" s="195"/>
      <c r="AI14" s="74"/>
      <c r="AJ14" s="74"/>
    </row>
    <row r="15" spans="2:36" s="2" customFormat="1" ht="53.25" customHeight="1">
      <c r="B15" s="74"/>
      <c r="C15" s="75"/>
      <c r="D15" s="192" t="s">
        <v>12</v>
      </c>
      <c r="E15" s="193"/>
      <c r="F15" s="193"/>
      <c r="G15" s="193"/>
      <c r="H15" s="193"/>
      <c r="I15" s="193"/>
      <c r="J15" s="193"/>
      <c r="K15" s="193"/>
      <c r="L15" s="194" t="s">
        <v>13</v>
      </c>
      <c r="M15" s="195"/>
      <c r="N15" s="195"/>
      <c r="O15" s="195"/>
      <c r="P15" s="195"/>
      <c r="Q15" s="195"/>
      <c r="R15" s="195"/>
      <c r="S15" s="195"/>
      <c r="T15" s="195"/>
      <c r="U15" s="195"/>
      <c r="V15" s="195"/>
      <c r="W15" s="195"/>
      <c r="X15" s="195"/>
      <c r="Y15" s="195"/>
      <c r="Z15" s="195"/>
      <c r="AA15" s="195"/>
      <c r="AB15" s="195"/>
      <c r="AC15" s="195"/>
      <c r="AD15" s="195"/>
      <c r="AE15" s="195"/>
      <c r="AF15" s="195"/>
      <c r="AG15" s="195"/>
      <c r="AH15" s="195"/>
      <c r="AI15" s="74"/>
      <c r="AJ15" s="74"/>
    </row>
    <row r="16" spans="2:36" s="2" customFormat="1" ht="53.25" customHeight="1">
      <c r="B16" s="74"/>
      <c r="C16" s="75"/>
      <c r="D16" s="192" t="s">
        <v>14</v>
      </c>
      <c r="E16" s="193"/>
      <c r="F16" s="193"/>
      <c r="G16" s="193"/>
      <c r="H16" s="193"/>
      <c r="I16" s="193"/>
      <c r="J16" s="193"/>
      <c r="K16" s="193"/>
      <c r="L16" s="194" t="s">
        <v>15</v>
      </c>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74"/>
      <c r="AJ16" s="74"/>
    </row>
    <row r="17" spans="2:36">
      <c r="B17" s="65"/>
      <c r="C17" s="72"/>
      <c r="D17" s="73"/>
      <c r="E17" s="73"/>
      <c r="F17" s="73"/>
      <c r="G17" s="73"/>
      <c r="H17" s="73"/>
      <c r="I17" s="73"/>
      <c r="J17" s="73"/>
      <c r="K17" s="73"/>
      <c r="L17" s="73"/>
      <c r="M17" s="73"/>
      <c r="N17" s="73"/>
      <c r="O17" s="73"/>
      <c r="P17" s="73"/>
      <c r="Q17" s="73"/>
      <c r="R17" s="73"/>
      <c r="S17" s="73"/>
      <c r="T17" s="73"/>
      <c r="U17" s="73"/>
      <c r="V17" s="73"/>
      <c r="W17" s="73"/>
      <c r="X17" s="73"/>
      <c r="Y17" s="73"/>
      <c r="Z17" s="73"/>
      <c r="AA17" s="73"/>
      <c r="AB17" s="73"/>
      <c r="AC17" s="73"/>
      <c r="AD17" s="73"/>
      <c r="AE17" s="73"/>
      <c r="AF17" s="73"/>
      <c r="AG17" s="73"/>
      <c r="AH17" s="73"/>
      <c r="AI17" s="73"/>
      <c r="AJ17" s="65"/>
    </row>
    <row r="18" spans="2:36">
      <c r="B18" s="65"/>
      <c r="C18" s="70"/>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65"/>
    </row>
    <row r="19" spans="2:36" ht="19.5">
      <c r="B19" s="65"/>
      <c r="C19" s="68" t="s">
        <v>16</v>
      </c>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5"/>
    </row>
    <row r="20" spans="2:36">
      <c r="B20" s="65"/>
      <c r="C20" s="72"/>
      <c r="D20" s="73"/>
      <c r="E20" s="73"/>
      <c r="F20" s="73"/>
      <c r="G20" s="73"/>
      <c r="H20" s="73"/>
      <c r="I20" s="73"/>
      <c r="J20" s="73"/>
      <c r="K20" s="73"/>
      <c r="L20" s="73"/>
      <c r="M20" s="73"/>
      <c r="N20" s="73"/>
      <c r="O20" s="73"/>
      <c r="P20" s="73"/>
      <c r="Q20" s="73"/>
      <c r="R20" s="73"/>
      <c r="S20" s="73"/>
      <c r="T20" s="73"/>
      <c r="U20" s="73"/>
      <c r="V20" s="73"/>
      <c r="W20" s="73"/>
      <c r="X20" s="73"/>
      <c r="Y20" s="73"/>
      <c r="Z20" s="73"/>
      <c r="AA20" s="73"/>
      <c r="AB20" s="73"/>
      <c r="AC20" s="73"/>
      <c r="AD20" s="73"/>
      <c r="AE20" s="73"/>
      <c r="AF20" s="73"/>
      <c r="AG20" s="73"/>
      <c r="AH20" s="73"/>
      <c r="AI20" s="73"/>
      <c r="AJ20" s="65"/>
    </row>
    <row r="21" spans="2:36">
      <c r="B21" s="65"/>
      <c r="C21" s="70"/>
      <c r="D21" s="76" t="s">
        <v>17</v>
      </c>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65"/>
    </row>
    <row r="22" spans="2:36" ht="15.6" thickBot="1">
      <c r="B22" s="65"/>
      <c r="C22" s="70"/>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65"/>
    </row>
    <row r="23" spans="2:36" ht="15.95" thickTop="1" thickBot="1">
      <c r="B23" s="65"/>
      <c r="C23" s="70"/>
      <c r="D23" s="65"/>
      <c r="E23" s="78"/>
      <c r="F23" s="79"/>
      <c r="G23" s="80"/>
      <c r="H23" s="70" t="s">
        <v>18</v>
      </c>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65"/>
    </row>
    <row r="24" spans="2:36" ht="6.75" customHeight="1" thickTop="1" thickBot="1">
      <c r="B24" s="65"/>
      <c r="C24" s="70"/>
      <c r="D24" s="65"/>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65"/>
    </row>
    <row r="25" spans="2:36" ht="15.95" thickTop="1" thickBot="1">
      <c r="B25" s="65"/>
      <c r="C25" s="70"/>
      <c r="D25" s="65"/>
      <c r="E25" s="118"/>
      <c r="F25" s="119"/>
      <c r="G25" s="120"/>
      <c r="H25" s="71" t="s">
        <v>19</v>
      </c>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65"/>
    </row>
    <row r="26" spans="2:36" ht="6.75" customHeight="1" thickTop="1">
      <c r="B26" s="65"/>
      <c r="C26" s="70"/>
      <c r="D26" s="65"/>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65"/>
    </row>
    <row r="27" spans="2:36">
      <c r="B27" s="65"/>
      <c r="C27" s="70"/>
      <c r="D27" s="65"/>
      <c r="E27" s="81" t="s">
        <v>20</v>
      </c>
      <c r="F27" s="82"/>
      <c r="G27" s="83"/>
      <c r="H27" s="71" t="s">
        <v>21</v>
      </c>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65"/>
    </row>
    <row r="28" spans="2:36" ht="6.75" customHeight="1">
      <c r="B28" s="65"/>
      <c r="C28" s="70"/>
      <c r="D28" s="7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65"/>
    </row>
    <row r="29" spans="2:36">
      <c r="B29" s="65"/>
      <c r="C29" s="70"/>
      <c r="D29" s="71"/>
      <c r="E29" s="71"/>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65"/>
    </row>
    <row r="30" spans="2:36">
      <c r="B30" s="65"/>
      <c r="C30" s="70"/>
      <c r="D30" s="84" t="s">
        <v>22</v>
      </c>
      <c r="E30" s="84"/>
      <c r="F30" s="85"/>
      <c r="G30" s="85"/>
      <c r="H30" s="85"/>
      <c r="I30" s="85"/>
      <c r="J30" s="85"/>
      <c r="K30" s="85"/>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65"/>
    </row>
    <row r="31" spans="2:36">
      <c r="B31" s="65"/>
      <c r="C31" s="70"/>
      <c r="D31" s="71"/>
      <c r="E31" s="86" t="s">
        <v>23</v>
      </c>
      <c r="F31" s="121" t="s">
        <v>24</v>
      </c>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65"/>
    </row>
    <row r="32" spans="2:36">
      <c r="B32" s="65"/>
      <c r="C32" s="70"/>
      <c r="D32" s="71"/>
      <c r="E32" s="86" t="s">
        <v>25</v>
      </c>
      <c r="F32" s="121" t="s">
        <v>26</v>
      </c>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65"/>
    </row>
    <row r="33" spans="2:36">
      <c r="B33" s="65"/>
      <c r="C33" s="70"/>
      <c r="D33" s="71"/>
      <c r="E33" s="86"/>
      <c r="F33" s="87" t="s">
        <v>27</v>
      </c>
      <c r="G33" s="88" t="s">
        <v>28</v>
      </c>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65"/>
    </row>
    <row r="34" spans="2:36">
      <c r="B34" s="65"/>
      <c r="C34" s="70"/>
      <c r="D34" s="71"/>
      <c r="E34" s="86"/>
      <c r="F34" s="87" t="s">
        <v>27</v>
      </c>
      <c r="G34" s="88" t="s">
        <v>29</v>
      </c>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65"/>
    </row>
    <row r="35" spans="2:36">
      <c r="B35" s="65"/>
      <c r="C35" s="70"/>
      <c r="D35" s="71"/>
      <c r="E35" s="86"/>
      <c r="F35" s="87" t="s">
        <v>27</v>
      </c>
      <c r="G35" s="88" t="s">
        <v>30</v>
      </c>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65"/>
    </row>
    <row r="36" spans="2:36">
      <c r="B36" s="65"/>
      <c r="C36" s="70"/>
      <c r="D36" s="71"/>
      <c r="E36" s="86"/>
      <c r="F36" s="87" t="s">
        <v>27</v>
      </c>
      <c r="G36" s="88" t="s">
        <v>31</v>
      </c>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65"/>
    </row>
    <row r="37" spans="2:36">
      <c r="B37" s="65"/>
      <c r="C37" s="70"/>
      <c r="D37" s="71"/>
      <c r="E37" s="86"/>
      <c r="F37" s="87" t="s">
        <v>27</v>
      </c>
      <c r="G37" s="88" t="s">
        <v>32</v>
      </c>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65"/>
    </row>
    <row r="38" spans="2:36">
      <c r="B38" s="65"/>
      <c r="C38" s="70"/>
      <c r="D38" s="71"/>
      <c r="E38" s="86"/>
      <c r="F38" s="87" t="s">
        <v>27</v>
      </c>
      <c r="G38" s="88" t="s">
        <v>33</v>
      </c>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65"/>
    </row>
    <row r="39" spans="2:36">
      <c r="B39" s="65"/>
      <c r="C39" s="70"/>
      <c r="D39" s="71"/>
      <c r="E39" s="86"/>
      <c r="F39" s="87" t="s">
        <v>27</v>
      </c>
      <c r="G39" s="88" t="s">
        <v>34</v>
      </c>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65"/>
    </row>
    <row r="40" spans="2:36">
      <c r="B40" s="65"/>
      <c r="C40" s="70"/>
      <c r="D40" s="71"/>
      <c r="E40" s="86"/>
      <c r="F40" s="87" t="s">
        <v>27</v>
      </c>
      <c r="G40" s="88" t="s">
        <v>35</v>
      </c>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65"/>
    </row>
    <row r="41" spans="2:36">
      <c r="B41" s="65"/>
      <c r="C41" s="70"/>
      <c r="D41" s="71"/>
      <c r="E41" s="86"/>
      <c r="F41" s="87" t="s">
        <v>27</v>
      </c>
      <c r="G41" s="88" t="s">
        <v>36</v>
      </c>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65"/>
    </row>
    <row r="42" spans="2:36">
      <c r="B42" s="65"/>
      <c r="C42" s="70"/>
      <c r="D42" s="71"/>
      <c r="E42" s="117" t="s">
        <v>37</v>
      </c>
      <c r="F42" s="121" t="s">
        <v>38</v>
      </c>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65"/>
    </row>
    <row r="43" spans="2:36">
      <c r="B43" s="65"/>
      <c r="C43" s="70"/>
      <c r="D43" s="71"/>
      <c r="E43" s="89"/>
      <c r="F43" s="87" t="s">
        <v>27</v>
      </c>
      <c r="G43" s="88" t="s">
        <v>39</v>
      </c>
      <c r="H43" s="88"/>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65"/>
    </row>
    <row r="44" spans="2:36">
      <c r="B44" s="65"/>
      <c r="C44" s="70"/>
      <c r="D44" s="71"/>
      <c r="E44" s="89"/>
      <c r="F44" s="88"/>
      <c r="G44" s="90" t="s">
        <v>40</v>
      </c>
      <c r="H44" s="88" t="s">
        <v>41</v>
      </c>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65"/>
    </row>
    <row r="45" spans="2:36">
      <c r="B45" s="65"/>
      <c r="C45" s="70"/>
      <c r="D45" s="71"/>
      <c r="E45" s="89"/>
      <c r="F45" s="88"/>
      <c r="G45" s="90" t="s">
        <v>40</v>
      </c>
      <c r="H45" s="88" t="s">
        <v>42</v>
      </c>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65"/>
    </row>
    <row r="46" spans="2:36">
      <c r="B46" s="65"/>
      <c r="C46" s="70"/>
      <c r="D46" s="71"/>
      <c r="E46" s="89"/>
      <c r="F46" s="88"/>
      <c r="G46" s="90" t="s">
        <v>40</v>
      </c>
      <c r="H46" s="88" t="s">
        <v>43</v>
      </c>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65"/>
    </row>
    <row r="47" spans="2:36">
      <c r="B47" s="65"/>
      <c r="C47" s="70"/>
      <c r="D47" s="71"/>
      <c r="E47" s="89"/>
      <c r="F47" s="88"/>
      <c r="G47" s="90" t="s">
        <v>40</v>
      </c>
      <c r="H47" s="88" t="s">
        <v>44</v>
      </c>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65"/>
    </row>
    <row r="48" spans="2:36">
      <c r="B48" s="65"/>
      <c r="C48" s="70"/>
      <c r="D48" s="71"/>
      <c r="E48" s="89"/>
      <c r="F48" s="88"/>
      <c r="G48" s="90"/>
      <c r="H48" s="88"/>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65"/>
    </row>
    <row r="49" spans="2:36">
      <c r="B49" s="65"/>
      <c r="C49" s="70"/>
      <c r="D49" s="71"/>
      <c r="E49" s="91" t="s">
        <v>45</v>
      </c>
      <c r="F49" s="88"/>
      <c r="G49" s="90"/>
      <c r="H49" s="88"/>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65"/>
    </row>
    <row r="50" spans="2:36">
      <c r="B50" s="65"/>
      <c r="C50" s="70"/>
      <c r="D50" s="71"/>
      <c r="E50" s="89"/>
      <c r="F50" s="88"/>
      <c r="G50" s="90"/>
      <c r="H50" s="88"/>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65"/>
    </row>
    <row r="51" spans="2:36">
      <c r="B51" s="65"/>
      <c r="C51" s="70"/>
      <c r="D51" s="71"/>
      <c r="E51" s="89"/>
      <c r="F51" s="88"/>
      <c r="G51" s="90"/>
      <c r="H51" s="88"/>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65"/>
    </row>
    <row r="52" spans="2:36">
      <c r="B52" s="65"/>
      <c r="C52" s="70"/>
      <c r="D52" s="71"/>
      <c r="E52" s="89"/>
      <c r="F52" s="88"/>
      <c r="G52" s="90"/>
      <c r="H52" s="88"/>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65"/>
    </row>
    <row r="53" spans="2:36">
      <c r="B53" s="65"/>
      <c r="C53" s="70"/>
      <c r="D53" s="71"/>
      <c r="E53" s="89"/>
      <c r="F53" s="88"/>
      <c r="G53" s="90"/>
      <c r="H53" s="88"/>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65"/>
    </row>
    <row r="54" spans="2:36">
      <c r="B54" s="65"/>
      <c r="C54" s="70"/>
      <c r="D54" s="71"/>
      <c r="E54" s="89"/>
      <c r="F54" s="88"/>
      <c r="G54" s="90"/>
      <c r="H54" s="88"/>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65"/>
    </row>
    <row r="55" spans="2:36">
      <c r="B55" s="65"/>
      <c r="C55" s="70"/>
      <c r="D55" s="71"/>
      <c r="E55" s="89"/>
      <c r="F55" s="88"/>
      <c r="G55" s="90"/>
      <c r="H55" s="88"/>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65"/>
    </row>
    <row r="56" spans="2:36">
      <c r="B56" s="65"/>
      <c r="C56" s="70"/>
      <c r="D56" s="71"/>
      <c r="E56" s="89"/>
      <c r="F56" s="88"/>
      <c r="G56" s="90"/>
      <c r="H56" s="88"/>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65"/>
    </row>
    <row r="57" spans="2:36">
      <c r="B57" s="65"/>
      <c r="C57" s="70"/>
      <c r="D57" s="71"/>
      <c r="E57" s="89"/>
      <c r="F57" s="88"/>
      <c r="G57" s="90"/>
      <c r="H57" s="88"/>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65"/>
    </row>
    <row r="58" spans="2:36">
      <c r="B58" s="65"/>
      <c r="C58" s="70"/>
      <c r="D58" s="71"/>
      <c r="E58" s="89"/>
      <c r="F58" s="88"/>
      <c r="G58" s="90"/>
      <c r="H58" s="88"/>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65"/>
    </row>
    <row r="59" spans="2:36">
      <c r="B59" s="65"/>
      <c r="C59" s="70"/>
      <c r="D59" s="71"/>
      <c r="E59" s="89"/>
      <c r="F59" s="88"/>
      <c r="G59" s="90"/>
      <c r="H59" s="88"/>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65"/>
    </row>
    <row r="60" spans="2:36">
      <c r="B60" s="65"/>
      <c r="C60" s="70"/>
      <c r="D60" s="71"/>
      <c r="E60" s="89"/>
      <c r="F60" s="88"/>
      <c r="G60" s="90"/>
      <c r="H60" s="88"/>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65"/>
    </row>
    <row r="61" spans="2:36">
      <c r="B61" s="65"/>
      <c r="C61" s="70"/>
      <c r="D61" s="71"/>
      <c r="E61" s="89"/>
      <c r="F61" s="88"/>
      <c r="G61" s="90"/>
      <c r="H61" s="88"/>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65"/>
    </row>
    <row r="62" spans="2:36">
      <c r="B62" s="65"/>
      <c r="C62" s="70"/>
      <c r="D62" s="71"/>
      <c r="E62" s="89"/>
      <c r="F62" s="88"/>
      <c r="G62" s="90"/>
      <c r="H62" s="88"/>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65"/>
    </row>
    <row r="63" spans="2:36">
      <c r="B63" s="65"/>
      <c r="C63" s="70"/>
      <c r="D63" s="71"/>
      <c r="E63" s="89"/>
      <c r="F63" s="88"/>
      <c r="G63" s="90"/>
      <c r="H63" s="88"/>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65"/>
    </row>
    <row r="64" spans="2:36">
      <c r="B64" s="65"/>
      <c r="C64" s="70"/>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65"/>
    </row>
    <row r="65" spans="2:36">
      <c r="B65" s="65"/>
      <c r="C65" s="70"/>
      <c r="D65" s="84" t="s">
        <v>46</v>
      </c>
      <c r="E65" s="84"/>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65"/>
    </row>
    <row r="66" spans="2:36">
      <c r="B66" s="65"/>
      <c r="C66" s="70"/>
      <c r="D66" s="71"/>
      <c r="E66" s="86" t="s">
        <v>23</v>
      </c>
      <c r="F66" s="121" t="s">
        <v>24</v>
      </c>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65"/>
    </row>
    <row r="67" spans="2:36">
      <c r="B67" s="65"/>
      <c r="C67" s="70"/>
      <c r="D67" s="71"/>
      <c r="E67" s="86" t="s">
        <v>25</v>
      </c>
      <c r="F67" s="121" t="s">
        <v>47</v>
      </c>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65"/>
    </row>
    <row r="68" spans="2:36">
      <c r="B68" s="65"/>
      <c r="C68" s="70"/>
      <c r="D68" s="71"/>
      <c r="E68" s="86"/>
      <c r="F68" s="87" t="s">
        <v>27</v>
      </c>
      <c r="G68" s="88" t="s">
        <v>48</v>
      </c>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65"/>
    </row>
    <row r="69" spans="2:36">
      <c r="B69" s="65"/>
      <c r="C69" s="70"/>
      <c r="D69" s="71"/>
      <c r="E69" s="86"/>
      <c r="F69" s="87" t="s">
        <v>27</v>
      </c>
      <c r="G69" s="88" t="s">
        <v>49</v>
      </c>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65"/>
    </row>
    <row r="70" spans="2:36">
      <c r="B70" s="65"/>
      <c r="C70" s="70"/>
      <c r="D70" s="71"/>
      <c r="E70" s="86"/>
      <c r="F70" s="87" t="s">
        <v>27</v>
      </c>
      <c r="G70" s="88" t="s">
        <v>50</v>
      </c>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65"/>
    </row>
    <row r="71" spans="2:36">
      <c r="B71" s="65"/>
      <c r="C71" s="70"/>
      <c r="D71" s="71"/>
      <c r="E71" s="86"/>
      <c r="F71" s="87" t="s">
        <v>27</v>
      </c>
      <c r="G71" s="88" t="s">
        <v>51</v>
      </c>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65"/>
    </row>
    <row r="72" spans="2:36">
      <c r="B72" s="65"/>
      <c r="C72" s="70"/>
      <c r="D72" s="71"/>
      <c r="E72" s="117" t="s">
        <v>37</v>
      </c>
      <c r="F72" s="121" t="s">
        <v>52</v>
      </c>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65"/>
    </row>
    <row r="73" spans="2:36">
      <c r="B73" s="65"/>
      <c r="C73" s="70"/>
      <c r="D73" s="71"/>
      <c r="E73" s="117" t="s">
        <v>53</v>
      </c>
      <c r="F73" s="121" t="s">
        <v>54</v>
      </c>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65"/>
    </row>
    <row r="74" spans="2:36">
      <c r="B74" s="65"/>
      <c r="C74" s="70"/>
      <c r="D74" s="71"/>
      <c r="E74" s="117"/>
      <c r="F74" s="87" t="s">
        <v>27</v>
      </c>
      <c r="G74" s="88" t="s">
        <v>55</v>
      </c>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65"/>
    </row>
    <row r="75" spans="2:36">
      <c r="B75" s="65"/>
      <c r="C75" s="70"/>
      <c r="D75" s="71"/>
      <c r="E75" s="117"/>
      <c r="F75" s="87" t="s">
        <v>27</v>
      </c>
      <c r="G75" s="88" t="s">
        <v>56</v>
      </c>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65"/>
    </row>
    <row r="76" spans="2:36">
      <c r="B76" s="65"/>
      <c r="C76" s="70"/>
      <c r="D76" s="71"/>
      <c r="E76" s="117" t="s">
        <v>57</v>
      </c>
      <c r="F76" s="121" t="s">
        <v>58</v>
      </c>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65"/>
    </row>
    <row r="77" spans="2:36">
      <c r="B77" s="65"/>
      <c r="C77" s="70"/>
      <c r="D77" s="71"/>
      <c r="E77" s="89"/>
      <c r="F77" s="87" t="s">
        <v>27</v>
      </c>
      <c r="G77" s="88" t="s">
        <v>39</v>
      </c>
      <c r="H77" s="88"/>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65"/>
    </row>
    <row r="78" spans="2:36">
      <c r="B78" s="65"/>
      <c r="C78" s="70"/>
      <c r="D78" s="71"/>
      <c r="E78" s="89"/>
      <c r="F78" s="88"/>
      <c r="G78" s="90" t="s">
        <v>40</v>
      </c>
      <c r="H78" s="88" t="s">
        <v>59</v>
      </c>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65"/>
    </row>
    <row r="79" spans="2:36">
      <c r="B79" s="65"/>
      <c r="C79" s="70"/>
      <c r="D79" s="71"/>
      <c r="E79" s="89"/>
      <c r="F79" s="88"/>
      <c r="G79" s="90" t="s">
        <v>40</v>
      </c>
      <c r="H79" s="88" t="s">
        <v>60</v>
      </c>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65"/>
    </row>
    <row r="80" spans="2:36">
      <c r="B80" s="65"/>
      <c r="C80" s="70"/>
      <c r="D80" s="71"/>
      <c r="E80" s="89"/>
      <c r="F80" s="88"/>
      <c r="G80" s="90" t="s">
        <v>40</v>
      </c>
      <c r="H80" s="88" t="s">
        <v>61</v>
      </c>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65"/>
    </row>
    <row r="81" spans="2:36">
      <c r="B81" s="65"/>
      <c r="C81" s="70"/>
      <c r="D81" s="71"/>
      <c r="E81" s="89"/>
      <c r="F81" s="88"/>
      <c r="G81" s="90" t="s">
        <v>40</v>
      </c>
      <c r="H81" s="88" t="s">
        <v>62</v>
      </c>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65"/>
    </row>
    <row r="82" spans="2:36">
      <c r="B82" s="65"/>
      <c r="C82" s="70"/>
      <c r="D82" s="71"/>
      <c r="E82" s="89"/>
      <c r="F82" s="88"/>
      <c r="G82" s="90"/>
      <c r="H82" s="88"/>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65"/>
    </row>
    <row r="83" spans="2:36">
      <c r="B83" s="65"/>
      <c r="C83" s="70"/>
      <c r="D83" s="71"/>
      <c r="E83" s="91" t="s">
        <v>45</v>
      </c>
      <c r="F83" s="88"/>
      <c r="G83" s="90"/>
      <c r="H83" s="88"/>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65"/>
    </row>
    <row r="84" spans="2:36">
      <c r="B84" s="65"/>
      <c r="C84" s="70"/>
      <c r="D84" s="71"/>
      <c r="E84" s="89"/>
      <c r="F84" s="88"/>
      <c r="G84" s="90"/>
      <c r="H84" s="88"/>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65"/>
    </row>
    <row r="85" spans="2:36">
      <c r="B85" s="65"/>
      <c r="C85" s="70"/>
      <c r="D85" s="71"/>
      <c r="E85" s="89"/>
      <c r="F85" s="88"/>
      <c r="G85" s="90"/>
      <c r="H85" s="88"/>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65"/>
    </row>
    <row r="86" spans="2:36">
      <c r="B86" s="65"/>
      <c r="C86" s="70"/>
      <c r="D86" s="71"/>
      <c r="E86" s="89"/>
      <c r="F86" s="88"/>
      <c r="G86" s="90"/>
      <c r="H86" s="88"/>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65"/>
    </row>
    <row r="87" spans="2:36">
      <c r="B87" s="65"/>
      <c r="C87" s="70"/>
      <c r="D87" s="71"/>
      <c r="E87" s="89"/>
      <c r="F87" s="88"/>
      <c r="G87" s="90"/>
      <c r="H87" s="88"/>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65"/>
    </row>
    <row r="88" spans="2:36">
      <c r="B88" s="65"/>
      <c r="C88" s="70"/>
      <c r="D88" s="71"/>
      <c r="E88" s="89"/>
      <c r="F88" s="88"/>
      <c r="G88" s="90"/>
      <c r="H88" s="88"/>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65"/>
    </row>
    <row r="89" spans="2:36">
      <c r="B89" s="65"/>
      <c r="C89" s="70"/>
      <c r="D89" s="71"/>
      <c r="E89" s="89"/>
      <c r="F89" s="88"/>
      <c r="G89" s="90"/>
      <c r="H89" s="88"/>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65"/>
    </row>
    <row r="90" spans="2:36">
      <c r="B90" s="65"/>
      <c r="C90" s="70"/>
      <c r="D90" s="71"/>
      <c r="E90" s="89"/>
      <c r="F90" s="88"/>
      <c r="G90" s="90"/>
      <c r="H90" s="88"/>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65"/>
    </row>
    <row r="91" spans="2:36">
      <c r="B91" s="65"/>
      <c r="C91" s="70"/>
      <c r="D91" s="71"/>
      <c r="E91" s="89"/>
      <c r="F91" s="88"/>
      <c r="G91" s="90"/>
      <c r="H91" s="88"/>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65"/>
    </row>
    <row r="92" spans="2:36">
      <c r="B92" s="65"/>
      <c r="C92" s="70"/>
      <c r="D92" s="71"/>
      <c r="E92" s="89"/>
      <c r="F92" s="88"/>
      <c r="G92" s="90"/>
      <c r="H92" s="88"/>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65"/>
    </row>
    <row r="93" spans="2:36">
      <c r="B93" s="65"/>
      <c r="C93" s="70"/>
      <c r="D93" s="71"/>
      <c r="E93" s="89"/>
      <c r="F93" s="88"/>
      <c r="G93" s="90"/>
      <c r="H93" s="88"/>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65"/>
    </row>
    <row r="94" spans="2:36">
      <c r="B94" s="65"/>
      <c r="C94" s="70"/>
      <c r="D94" s="71"/>
      <c r="E94" s="89"/>
      <c r="F94" s="88"/>
      <c r="G94" s="90"/>
      <c r="H94" s="88"/>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65"/>
    </row>
    <row r="95" spans="2:36">
      <c r="B95" s="65"/>
      <c r="C95" s="70"/>
      <c r="D95" s="71"/>
      <c r="E95" s="89"/>
      <c r="F95" s="88"/>
      <c r="G95" s="90"/>
      <c r="H95" s="88"/>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65"/>
    </row>
    <row r="96" spans="2:36">
      <c r="B96" s="65"/>
      <c r="C96" s="70"/>
      <c r="D96" s="71"/>
      <c r="E96" s="89"/>
      <c r="F96" s="88"/>
      <c r="G96" s="90"/>
      <c r="H96" s="88"/>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65"/>
    </row>
    <row r="97" spans="2:36">
      <c r="B97" s="65"/>
      <c r="C97" s="70"/>
      <c r="D97" s="71"/>
      <c r="E97" s="89"/>
      <c r="F97" s="88"/>
      <c r="G97" s="90"/>
      <c r="H97" s="88"/>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65"/>
    </row>
    <row r="98" spans="2:36">
      <c r="B98" s="65"/>
      <c r="C98" s="70"/>
      <c r="D98" s="71"/>
      <c r="E98" s="89"/>
      <c r="F98" s="88"/>
      <c r="G98" s="90"/>
      <c r="H98" s="88"/>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65"/>
    </row>
    <row r="99" spans="2:36">
      <c r="B99" s="65"/>
      <c r="C99" s="70"/>
      <c r="D99" s="71"/>
      <c r="E99" s="89"/>
      <c r="F99" s="88"/>
      <c r="G99" s="90"/>
      <c r="H99" s="88"/>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65"/>
    </row>
    <row r="100" spans="2:36">
      <c r="B100" s="65"/>
      <c r="C100" s="70"/>
      <c r="D100" s="71"/>
      <c r="E100" s="89"/>
      <c r="F100" s="88"/>
      <c r="G100" s="90"/>
      <c r="H100" s="88"/>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65"/>
    </row>
    <row r="101" spans="2:36">
      <c r="B101" s="65"/>
      <c r="C101" s="70"/>
      <c r="D101" s="71"/>
      <c r="E101" s="89"/>
      <c r="F101" s="88"/>
      <c r="G101" s="90"/>
      <c r="H101" s="88"/>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65"/>
    </row>
    <row r="102" spans="2:36">
      <c r="B102" s="65"/>
      <c r="C102" s="70"/>
      <c r="D102" s="71"/>
      <c r="E102" s="89"/>
      <c r="F102" s="88"/>
      <c r="G102" s="90"/>
      <c r="H102" s="88"/>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65"/>
    </row>
    <row r="103" spans="2:36">
      <c r="B103" s="65"/>
      <c r="C103" s="70"/>
      <c r="D103" s="84" t="s">
        <v>63</v>
      </c>
      <c r="E103" s="84"/>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65"/>
    </row>
    <row r="104" spans="2:36">
      <c r="B104" s="65"/>
      <c r="C104" s="70"/>
      <c r="D104" s="71"/>
      <c r="E104" s="86" t="s">
        <v>23</v>
      </c>
      <c r="F104" s="121" t="s">
        <v>64</v>
      </c>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65"/>
    </row>
    <row r="105" spans="2:36">
      <c r="B105" s="65"/>
      <c r="C105" s="70"/>
      <c r="D105" s="71"/>
      <c r="E105" s="86"/>
      <c r="F105" s="87" t="s">
        <v>27</v>
      </c>
      <c r="G105" s="88" t="s">
        <v>65</v>
      </c>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65"/>
    </row>
    <row r="106" spans="2:36">
      <c r="B106" s="65"/>
      <c r="C106" s="70"/>
      <c r="D106" s="71"/>
      <c r="E106" s="86"/>
      <c r="F106" s="87" t="s">
        <v>27</v>
      </c>
      <c r="G106" s="88" t="s">
        <v>66</v>
      </c>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65"/>
    </row>
    <row r="107" spans="2:36">
      <c r="B107" s="65"/>
      <c r="C107" s="70"/>
      <c r="D107" s="71"/>
      <c r="E107" s="86"/>
      <c r="F107" s="87"/>
      <c r="G107" s="88" t="s">
        <v>67</v>
      </c>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65"/>
    </row>
    <row r="108" spans="2:36">
      <c r="B108" s="65"/>
      <c r="C108" s="70"/>
      <c r="D108" s="71"/>
      <c r="E108" s="86"/>
      <c r="F108" s="87"/>
      <c r="G108" s="88" t="s">
        <v>68</v>
      </c>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65"/>
    </row>
    <row r="109" spans="2:36">
      <c r="B109" s="65"/>
      <c r="C109" s="70"/>
      <c r="D109" s="71"/>
      <c r="E109" s="86" t="s">
        <v>25</v>
      </c>
      <c r="F109" s="121" t="s">
        <v>69</v>
      </c>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65"/>
    </row>
    <row r="110" spans="2:36">
      <c r="B110" s="65"/>
      <c r="C110" s="70"/>
      <c r="D110" s="71"/>
      <c r="E110" s="86"/>
      <c r="F110" s="87" t="s">
        <v>27</v>
      </c>
      <c r="G110" s="88" t="s">
        <v>70</v>
      </c>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65"/>
    </row>
    <row r="111" spans="2:36">
      <c r="B111" s="65"/>
      <c r="C111" s="70"/>
      <c r="D111" s="71"/>
      <c r="E111" s="86"/>
      <c r="F111" s="87"/>
      <c r="G111" s="88" t="s">
        <v>71</v>
      </c>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65"/>
    </row>
    <row r="112" spans="2:36">
      <c r="B112" s="65"/>
      <c r="C112" s="70"/>
      <c r="D112" s="71"/>
      <c r="E112" s="86"/>
      <c r="F112" s="87" t="s">
        <v>27</v>
      </c>
      <c r="G112" s="88" t="s">
        <v>72</v>
      </c>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65"/>
    </row>
    <row r="113" spans="2:36">
      <c r="B113" s="65"/>
      <c r="C113" s="70"/>
      <c r="D113" s="71"/>
      <c r="E113" s="86"/>
      <c r="F113" s="87" t="s">
        <v>27</v>
      </c>
      <c r="G113" s="88" t="s">
        <v>73</v>
      </c>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65"/>
    </row>
    <row r="114" spans="2:36">
      <c r="B114" s="65"/>
      <c r="C114" s="70"/>
      <c r="D114" s="71"/>
      <c r="E114" s="86"/>
      <c r="F114" s="87"/>
      <c r="G114" s="90" t="s">
        <v>40</v>
      </c>
      <c r="H114" s="88" t="s">
        <v>74</v>
      </c>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65"/>
    </row>
    <row r="115" spans="2:36">
      <c r="B115" s="65"/>
      <c r="C115" s="70"/>
      <c r="D115" s="71"/>
      <c r="E115" s="86"/>
      <c r="F115" s="87"/>
      <c r="G115" s="90" t="s">
        <v>40</v>
      </c>
      <c r="H115" s="88" t="s">
        <v>75</v>
      </c>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65"/>
    </row>
    <row r="116" spans="2:36">
      <c r="B116" s="65"/>
      <c r="C116" s="70"/>
      <c r="D116" s="71"/>
      <c r="E116" s="86"/>
      <c r="F116" s="87"/>
      <c r="G116" s="90" t="s">
        <v>40</v>
      </c>
      <c r="H116" s="88" t="s">
        <v>76</v>
      </c>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65"/>
    </row>
    <row r="117" spans="2:36">
      <c r="B117" s="65"/>
      <c r="C117" s="70"/>
      <c r="D117" s="71"/>
      <c r="E117" s="86"/>
      <c r="F117" s="87"/>
      <c r="G117" s="90" t="s">
        <v>40</v>
      </c>
      <c r="H117" s="88" t="s">
        <v>77</v>
      </c>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65"/>
    </row>
    <row r="118" spans="2:36">
      <c r="B118" s="65"/>
      <c r="C118" s="70"/>
      <c r="D118" s="71"/>
      <c r="E118" s="117" t="s">
        <v>37</v>
      </c>
      <c r="F118" s="121" t="s">
        <v>78</v>
      </c>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65"/>
    </row>
    <row r="119" spans="2:36">
      <c r="B119" s="65"/>
      <c r="C119" s="70"/>
      <c r="D119" s="71"/>
      <c r="E119" s="117"/>
      <c r="F119" s="87" t="s">
        <v>27</v>
      </c>
      <c r="G119" s="88" t="s">
        <v>79</v>
      </c>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65"/>
    </row>
    <row r="120" spans="2:36">
      <c r="B120" s="65"/>
      <c r="C120" s="70"/>
      <c r="D120" s="71"/>
      <c r="E120" s="117"/>
      <c r="F120" s="87" t="s">
        <v>27</v>
      </c>
      <c r="G120" s="88" t="s">
        <v>80</v>
      </c>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65"/>
    </row>
    <row r="121" spans="2:36">
      <c r="B121" s="65"/>
      <c r="C121" s="70"/>
      <c r="D121" s="71"/>
      <c r="E121" s="117"/>
      <c r="F121" s="87" t="s">
        <v>27</v>
      </c>
      <c r="G121" s="88" t="s">
        <v>81</v>
      </c>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65"/>
    </row>
    <row r="122" spans="2:36">
      <c r="B122" s="65"/>
      <c r="C122" s="70"/>
      <c r="D122" s="71"/>
      <c r="E122" s="117"/>
      <c r="F122" s="87"/>
      <c r="G122" s="88" t="s">
        <v>82</v>
      </c>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65"/>
    </row>
    <row r="123" spans="2:36">
      <c r="B123" s="65"/>
      <c r="C123" s="70"/>
      <c r="D123" s="71"/>
      <c r="E123" s="127" t="s">
        <v>53</v>
      </c>
      <c r="F123" s="121" t="s">
        <v>83</v>
      </c>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65"/>
    </row>
    <row r="124" spans="2:36">
      <c r="B124" s="65"/>
      <c r="C124" s="70"/>
      <c r="D124" s="71"/>
      <c r="E124" s="89"/>
      <c r="F124" s="87" t="s">
        <v>27</v>
      </c>
      <c r="G124" s="88" t="s">
        <v>39</v>
      </c>
      <c r="H124" s="88"/>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65"/>
    </row>
    <row r="125" spans="2:36">
      <c r="B125" s="65"/>
      <c r="C125" s="70"/>
      <c r="D125" s="71"/>
      <c r="E125" s="89"/>
      <c r="F125" s="88"/>
      <c r="G125" s="90" t="s">
        <v>40</v>
      </c>
      <c r="H125" s="88" t="s">
        <v>59</v>
      </c>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65"/>
    </row>
    <row r="126" spans="2:36">
      <c r="B126" s="65"/>
      <c r="C126" s="70"/>
      <c r="D126" s="71"/>
      <c r="E126" s="89"/>
      <c r="F126" s="88"/>
      <c r="G126" s="90" t="s">
        <v>40</v>
      </c>
      <c r="H126" s="88" t="s">
        <v>60</v>
      </c>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65"/>
    </row>
    <row r="127" spans="2:36">
      <c r="B127" s="65"/>
      <c r="C127" s="70"/>
      <c r="D127" s="71"/>
      <c r="E127" s="89"/>
      <c r="F127" s="88"/>
      <c r="G127" s="90" t="s">
        <v>40</v>
      </c>
      <c r="H127" s="88" t="s">
        <v>84</v>
      </c>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65"/>
    </row>
    <row r="128" spans="2:36">
      <c r="B128" s="65"/>
      <c r="C128" s="70"/>
      <c r="D128" s="71"/>
      <c r="E128" s="89"/>
      <c r="F128" s="88"/>
      <c r="G128" s="90"/>
      <c r="H128" s="88" t="s">
        <v>85</v>
      </c>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65"/>
    </row>
    <row r="129" spans="2:36">
      <c r="B129" s="65"/>
      <c r="C129" s="70"/>
      <c r="D129" s="71"/>
      <c r="E129" s="89"/>
      <c r="F129" s="88"/>
      <c r="G129" s="90" t="s">
        <v>40</v>
      </c>
      <c r="H129" s="88" t="s">
        <v>86</v>
      </c>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65"/>
    </row>
    <row r="130" spans="2:36">
      <c r="B130" s="65"/>
      <c r="C130" s="70"/>
      <c r="D130" s="71"/>
      <c r="E130" s="89"/>
      <c r="F130" s="88"/>
      <c r="G130" s="90"/>
      <c r="H130" s="88"/>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65"/>
    </row>
    <row r="131" spans="2:36">
      <c r="B131" s="65"/>
      <c r="C131" s="70"/>
      <c r="D131" s="71"/>
      <c r="E131" s="91" t="s">
        <v>45</v>
      </c>
      <c r="F131" s="88"/>
      <c r="G131" s="90"/>
      <c r="H131" s="88"/>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65"/>
    </row>
    <row r="132" spans="2:36">
      <c r="B132" s="65"/>
      <c r="C132" s="70"/>
      <c r="D132" s="71"/>
      <c r="E132" s="89"/>
      <c r="F132" s="88"/>
      <c r="G132" s="90"/>
      <c r="H132" s="88"/>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65"/>
    </row>
    <row r="133" spans="2:36">
      <c r="B133" s="65"/>
      <c r="C133" s="70"/>
      <c r="D133" s="71"/>
      <c r="E133" s="89"/>
      <c r="F133" s="88"/>
      <c r="G133" s="90"/>
      <c r="H133" s="88"/>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65"/>
    </row>
    <row r="134" spans="2:36">
      <c r="B134" s="65"/>
      <c r="C134" s="70"/>
      <c r="D134" s="71"/>
      <c r="E134" s="89"/>
      <c r="F134" s="88"/>
      <c r="G134" s="90"/>
      <c r="H134" s="88"/>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65"/>
    </row>
    <row r="135" spans="2:36">
      <c r="B135" s="65"/>
      <c r="C135" s="70"/>
      <c r="D135" s="71"/>
      <c r="E135" s="89"/>
      <c r="F135" s="88"/>
      <c r="G135" s="90"/>
      <c r="H135" s="88"/>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65"/>
    </row>
    <row r="136" spans="2:36">
      <c r="B136" s="65"/>
      <c r="C136" s="70"/>
      <c r="D136" s="71"/>
      <c r="E136" s="89"/>
      <c r="F136" s="88"/>
      <c r="G136" s="90"/>
      <c r="H136" s="88"/>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65"/>
    </row>
    <row r="137" spans="2:36">
      <c r="B137" s="65"/>
      <c r="C137" s="70"/>
      <c r="D137" s="71"/>
      <c r="E137" s="89"/>
      <c r="F137" s="88"/>
      <c r="G137" s="90"/>
      <c r="H137" s="88"/>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65"/>
    </row>
    <row r="138" spans="2:36">
      <c r="B138" s="65"/>
      <c r="C138" s="70"/>
      <c r="D138" s="71"/>
      <c r="E138" s="89"/>
      <c r="F138" s="88"/>
      <c r="G138" s="90"/>
      <c r="H138" s="88"/>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65"/>
    </row>
    <row r="139" spans="2:36">
      <c r="B139" s="65"/>
      <c r="C139" s="70"/>
      <c r="D139" s="71"/>
      <c r="E139" s="89"/>
      <c r="F139" s="88"/>
      <c r="G139" s="90"/>
      <c r="H139" s="88"/>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65"/>
    </row>
    <row r="140" spans="2:36">
      <c r="B140" s="65"/>
      <c r="C140" s="70"/>
      <c r="D140" s="71"/>
      <c r="E140" s="89"/>
      <c r="F140" s="88"/>
      <c r="G140" s="90"/>
      <c r="H140" s="88"/>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65"/>
    </row>
    <row r="141" spans="2:36">
      <c r="B141" s="65"/>
      <c r="C141" s="70"/>
      <c r="D141" s="71"/>
      <c r="E141" s="89"/>
      <c r="F141" s="88"/>
      <c r="G141" s="90"/>
      <c r="H141" s="88"/>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65"/>
    </row>
    <row r="142" spans="2:36">
      <c r="B142" s="65"/>
      <c r="C142" s="70"/>
      <c r="D142" s="71"/>
      <c r="E142" s="89"/>
      <c r="F142" s="88"/>
      <c r="G142" s="90"/>
      <c r="H142" s="88"/>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65"/>
    </row>
    <row r="143" spans="2:36">
      <c r="B143" s="65"/>
      <c r="C143" s="70"/>
      <c r="D143" s="71"/>
      <c r="E143" s="89"/>
      <c r="F143" s="88"/>
      <c r="G143" s="90"/>
      <c r="H143" s="88"/>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65"/>
    </row>
    <row r="144" spans="2:36">
      <c r="B144" s="65"/>
      <c r="C144" s="70"/>
      <c r="D144" s="71"/>
      <c r="E144" s="89"/>
      <c r="F144" s="88"/>
      <c r="G144" s="90"/>
      <c r="H144" s="88"/>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65"/>
    </row>
    <row r="145" spans="2:36">
      <c r="B145" s="65"/>
      <c r="C145" s="70"/>
      <c r="D145" s="71"/>
      <c r="E145" s="89"/>
      <c r="F145" s="88"/>
      <c r="G145" s="90"/>
      <c r="H145" s="88"/>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65"/>
    </row>
    <row r="146" spans="2:36">
      <c r="B146" s="65"/>
      <c r="C146" s="70"/>
      <c r="D146" s="71"/>
      <c r="E146" s="89"/>
      <c r="F146" s="88"/>
      <c r="G146" s="90"/>
      <c r="H146" s="88"/>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65"/>
    </row>
    <row r="147" spans="2:36">
      <c r="B147" s="65"/>
      <c r="C147" s="70"/>
      <c r="D147" s="71"/>
      <c r="E147" s="89"/>
      <c r="F147" s="88"/>
      <c r="G147" s="90"/>
      <c r="H147" s="88"/>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65"/>
    </row>
    <row r="148" spans="2:36">
      <c r="B148" s="65"/>
      <c r="C148" s="70"/>
      <c r="D148" s="71"/>
      <c r="E148" s="89"/>
      <c r="F148" s="88"/>
      <c r="G148" s="90"/>
      <c r="H148" s="88"/>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65"/>
    </row>
    <row r="149" spans="2:36">
      <c r="B149" s="65"/>
      <c r="C149" s="70"/>
      <c r="D149" s="71"/>
      <c r="E149" s="89"/>
      <c r="F149" s="88"/>
      <c r="G149" s="90"/>
      <c r="H149" s="88"/>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65"/>
    </row>
    <row r="150" spans="2:36">
      <c r="B150" s="65"/>
      <c r="C150" s="70"/>
      <c r="D150" s="84" t="s">
        <v>87</v>
      </c>
      <c r="E150" s="84"/>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65"/>
    </row>
    <row r="151" spans="2:36">
      <c r="B151" s="65"/>
      <c r="C151" s="70"/>
      <c r="D151" s="71"/>
      <c r="E151" s="86" t="s">
        <v>23</v>
      </c>
      <c r="F151" s="121" t="s">
        <v>88</v>
      </c>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65"/>
    </row>
    <row r="152" spans="2:36">
      <c r="B152" s="65"/>
      <c r="C152" s="70"/>
      <c r="D152" s="71"/>
      <c r="E152" s="86"/>
      <c r="F152" s="87" t="s">
        <v>27</v>
      </c>
      <c r="G152" s="88" t="s">
        <v>89</v>
      </c>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65"/>
    </row>
    <row r="153" spans="2:36">
      <c r="B153" s="65"/>
      <c r="C153" s="70"/>
      <c r="D153" s="71"/>
      <c r="E153" s="86"/>
      <c r="F153" s="87" t="s">
        <v>27</v>
      </c>
      <c r="G153" s="88" t="s">
        <v>49</v>
      </c>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65"/>
    </row>
    <row r="154" spans="2:36">
      <c r="B154" s="65"/>
      <c r="C154" s="70"/>
      <c r="D154" s="71"/>
      <c r="E154" s="86"/>
      <c r="F154" s="87" t="s">
        <v>27</v>
      </c>
      <c r="G154" s="88" t="s">
        <v>90</v>
      </c>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65"/>
    </row>
    <row r="155" spans="2:36">
      <c r="B155" s="65"/>
      <c r="C155" s="70"/>
      <c r="D155" s="71"/>
      <c r="E155" s="86"/>
      <c r="F155" s="87"/>
      <c r="G155" s="88" t="s">
        <v>91</v>
      </c>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65"/>
    </row>
    <row r="156" spans="2:36">
      <c r="B156" s="65"/>
      <c r="C156" s="70"/>
      <c r="D156" s="71"/>
      <c r="E156" s="86"/>
      <c r="F156" s="87" t="s">
        <v>27</v>
      </c>
      <c r="G156" s="88" t="s">
        <v>92</v>
      </c>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65"/>
    </row>
    <row r="157" spans="2:36">
      <c r="B157" s="65"/>
      <c r="C157" s="70"/>
      <c r="D157" s="71"/>
      <c r="E157" s="117" t="s">
        <v>25</v>
      </c>
      <c r="F157" s="121" t="s">
        <v>52</v>
      </c>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65"/>
    </row>
    <row r="158" spans="2:36">
      <c r="B158" s="65"/>
      <c r="C158" s="70"/>
      <c r="D158" s="71"/>
      <c r="E158" s="117" t="s">
        <v>37</v>
      </c>
      <c r="F158" s="121" t="s">
        <v>93</v>
      </c>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65"/>
    </row>
    <row r="159" spans="2:36">
      <c r="B159" s="65"/>
      <c r="C159" s="70"/>
      <c r="D159" s="71"/>
      <c r="E159" s="117"/>
      <c r="F159" s="87" t="s">
        <v>27</v>
      </c>
      <c r="G159" s="88" t="s">
        <v>94</v>
      </c>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65"/>
    </row>
    <row r="160" spans="2:36">
      <c r="B160" s="65"/>
      <c r="C160" s="70"/>
      <c r="D160" s="71"/>
      <c r="E160" s="117"/>
      <c r="F160" s="87" t="s">
        <v>27</v>
      </c>
      <c r="G160" s="88" t="s">
        <v>95</v>
      </c>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65"/>
    </row>
    <row r="161" spans="2:36">
      <c r="B161" s="65"/>
      <c r="C161" s="70"/>
      <c r="D161" s="71"/>
      <c r="E161" s="86" t="s">
        <v>53</v>
      </c>
      <c r="F161" s="121" t="s">
        <v>69</v>
      </c>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65"/>
    </row>
    <row r="162" spans="2:36">
      <c r="B162" s="65"/>
      <c r="C162" s="70"/>
      <c r="D162" s="71"/>
      <c r="E162" s="86"/>
      <c r="F162" s="87" t="s">
        <v>27</v>
      </c>
      <c r="G162" s="88" t="s">
        <v>70</v>
      </c>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65"/>
    </row>
    <row r="163" spans="2:36">
      <c r="B163" s="65"/>
      <c r="C163" s="70"/>
      <c r="D163" s="71"/>
      <c r="E163" s="86"/>
      <c r="F163" s="87"/>
      <c r="G163" s="88" t="s">
        <v>71</v>
      </c>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65"/>
    </row>
    <row r="164" spans="2:36">
      <c r="B164" s="65"/>
      <c r="C164" s="70"/>
      <c r="D164" s="71"/>
      <c r="E164" s="86"/>
      <c r="F164" s="87" t="s">
        <v>27</v>
      </c>
      <c r="G164" s="88" t="s">
        <v>72</v>
      </c>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65"/>
    </row>
    <row r="165" spans="2:36">
      <c r="B165" s="65"/>
      <c r="C165" s="70"/>
      <c r="D165" s="71"/>
      <c r="E165" s="86"/>
      <c r="F165" s="87" t="s">
        <v>27</v>
      </c>
      <c r="G165" s="88" t="s">
        <v>96</v>
      </c>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65"/>
    </row>
    <row r="166" spans="2:36">
      <c r="B166" s="65"/>
      <c r="C166" s="70"/>
      <c r="D166" s="71"/>
      <c r="E166" s="86"/>
      <c r="F166" s="87"/>
      <c r="G166" s="90" t="s">
        <v>40</v>
      </c>
      <c r="H166" s="88" t="s">
        <v>74</v>
      </c>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65"/>
    </row>
    <row r="167" spans="2:36">
      <c r="B167" s="65"/>
      <c r="C167" s="70"/>
      <c r="D167" s="71"/>
      <c r="E167" s="86"/>
      <c r="F167" s="87"/>
      <c r="G167" s="90" t="s">
        <v>40</v>
      </c>
      <c r="H167" s="88" t="s">
        <v>75</v>
      </c>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65"/>
    </row>
    <row r="168" spans="2:36">
      <c r="B168" s="65"/>
      <c r="C168" s="70"/>
      <c r="D168" s="71"/>
      <c r="E168" s="86"/>
      <c r="F168" s="87"/>
      <c r="G168" s="90" t="s">
        <v>40</v>
      </c>
      <c r="H168" s="88" t="s">
        <v>76</v>
      </c>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65"/>
    </row>
    <row r="169" spans="2:36">
      <c r="B169" s="65"/>
      <c r="C169" s="70"/>
      <c r="D169" s="71"/>
      <c r="E169" s="86"/>
      <c r="F169" s="87"/>
      <c r="G169" s="90" t="s">
        <v>40</v>
      </c>
      <c r="H169" s="88" t="s">
        <v>77</v>
      </c>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65"/>
    </row>
    <row r="170" spans="2:36">
      <c r="B170" s="65"/>
      <c r="C170" s="70"/>
      <c r="D170" s="71"/>
      <c r="E170" s="117" t="s">
        <v>57</v>
      </c>
      <c r="F170" s="121" t="s">
        <v>97</v>
      </c>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65"/>
    </row>
    <row r="171" spans="2:36">
      <c r="B171" s="65"/>
      <c r="C171" s="70"/>
      <c r="D171" s="71"/>
      <c r="E171" s="117"/>
      <c r="F171" s="87" t="s">
        <v>27</v>
      </c>
      <c r="G171" s="88" t="s">
        <v>79</v>
      </c>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65"/>
    </row>
    <row r="172" spans="2:36">
      <c r="B172" s="65"/>
      <c r="C172" s="70"/>
      <c r="D172" s="71"/>
      <c r="E172" s="117"/>
      <c r="F172" s="87" t="s">
        <v>27</v>
      </c>
      <c r="G172" s="88" t="s">
        <v>98</v>
      </c>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65"/>
    </row>
    <row r="173" spans="2:36">
      <c r="B173" s="65"/>
      <c r="C173" s="70"/>
      <c r="D173" s="71"/>
      <c r="E173" s="117"/>
      <c r="F173" s="87" t="s">
        <v>27</v>
      </c>
      <c r="G173" s="88" t="s">
        <v>81</v>
      </c>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65"/>
    </row>
    <row r="174" spans="2:36">
      <c r="B174" s="65"/>
      <c r="C174" s="70"/>
      <c r="D174" s="71"/>
      <c r="E174" s="117"/>
      <c r="F174" s="87"/>
      <c r="G174" s="88" t="s">
        <v>82</v>
      </c>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65"/>
    </row>
    <row r="175" spans="2:36">
      <c r="B175" s="65"/>
      <c r="C175" s="70"/>
      <c r="D175" s="71"/>
      <c r="E175" s="117" t="s">
        <v>99</v>
      </c>
      <c r="F175" s="121" t="s">
        <v>83</v>
      </c>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65"/>
    </row>
    <row r="176" spans="2:36">
      <c r="B176" s="65"/>
      <c r="C176" s="70"/>
      <c r="D176" s="71"/>
      <c r="E176" s="89"/>
      <c r="F176" s="87" t="s">
        <v>27</v>
      </c>
      <c r="G176" s="88" t="s">
        <v>39</v>
      </c>
      <c r="H176" s="88"/>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65"/>
    </row>
    <row r="177" spans="2:36">
      <c r="B177" s="65"/>
      <c r="C177" s="70"/>
      <c r="D177" s="71"/>
      <c r="E177" s="89"/>
      <c r="F177" s="88"/>
      <c r="G177" s="90" t="s">
        <v>40</v>
      </c>
      <c r="H177" s="88" t="s">
        <v>59</v>
      </c>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65"/>
    </row>
    <row r="178" spans="2:36">
      <c r="B178" s="65"/>
      <c r="C178" s="70"/>
      <c r="D178" s="71"/>
      <c r="E178" s="89"/>
      <c r="F178" s="88"/>
      <c r="G178" s="90" t="s">
        <v>40</v>
      </c>
      <c r="H178" s="88" t="s">
        <v>60</v>
      </c>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65"/>
    </row>
    <row r="179" spans="2:36">
      <c r="B179" s="65"/>
      <c r="C179" s="70"/>
      <c r="D179" s="71"/>
      <c r="E179" s="89"/>
      <c r="F179" s="88"/>
      <c r="G179" s="90" t="s">
        <v>40</v>
      </c>
      <c r="H179" s="88" t="s">
        <v>100</v>
      </c>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65"/>
    </row>
    <row r="180" spans="2:36">
      <c r="B180" s="65"/>
      <c r="C180" s="70"/>
      <c r="D180" s="71"/>
      <c r="E180" s="89"/>
      <c r="F180" s="88"/>
      <c r="G180" s="90"/>
      <c r="H180" s="88" t="s">
        <v>85</v>
      </c>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65"/>
    </row>
    <row r="181" spans="2:36">
      <c r="B181" s="65"/>
      <c r="C181" s="70"/>
      <c r="D181" s="71"/>
      <c r="E181" s="89"/>
      <c r="F181" s="88"/>
      <c r="G181" s="90" t="s">
        <v>40</v>
      </c>
      <c r="H181" s="88" t="s">
        <v>101</v>
      </c>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65"/>
    </row>
    <row r="182" spans="2:36">
      <c r="B182" s="65"/>
      <c r="C182" s="70"/>
      <c r="D182" s="71"/>
      <c r="E182" s="89"/>
      <c r="F182" s="88"/>
      <c r="G182" s="90" t="s">
        <v>40</v>
      </c>
      <c r="H182" s="88" t="s">
        <v>62</v>
      </c>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65"/>
    </row>
    <row r="183" spans="2:36">
      <c r="B183" s="65"/>
      <c r="C183" s="70"/>
      <c r="D183" s="71"/>
      <c r="E183" s="89"/>
      <c r="F183" s="88"/>
      <c r="G183" s="90"/>
      <c r="H183" s="88"/>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65"/>
    </row>
    <row r="184" spans="2:36">
      <c r="B184" s="65"/>
      <c r="C184" s="70"/>
      <c r="D184" s="71"/>
      <c r="E184" s="91" t="s">
        <v>45</v>
      </c>
      <c r="F184" s="88"/>
      <c r="G184" s="90"/>
      <c r="H184" s="88"/>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65"/>
    </row>
    <row r="185" spans="2:36">
      <c r="B185" s="65"/>
      <c r="C185" s="70"/>
      <c r="D185" s="71"/>
      <c r="E185" s="89"/>
      <c r="F185" s="88"/>
      <c r="G185" s="90"/>
      <c r="H185" s="88"/>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65"/>
    </row>
    <row r="186" spans="2:36">
      <c r="B186" s="65"/>
      <c r="C186" s="70"/>
      <c r="D186" s="71"/>
      <c r="E186" s="89"/>
      <c r="F186" s="88"/>
      <c r="G186" s="90"/>
      <c r="H186" s="88"/>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65"/>
    </row>
    <row r="187" spans="2:36">
      <c r="B187" s="65"/>
      <c r="C187" s="70"/>
      <c r="D187" s="71"/>
      <c r="E187" s="89"/>
      <c r="F187" s="88"/>
      <c r="G187" s="90"/>
      <c r="H187" s="88"/>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65"/>
    </row>
    <row r="188" spans="2:36">
      <c r="B188" s="65"/>
      <c r="C188" s="70"/>
      <c r="D188" s="71"/>
      <c r="E188" s="89"/>
      <c r="F188" s="88"/>
      <c r="G188" s="90"/>
      <c r="H188" s="88"/>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65"/>
    </row>
    <row r="189" spans="2:36">
      <c r="B189" s="65"/>
      <c r="C189" s="70"/>
      <c r="D189" s="71"/>
      <c r="E189" s="89"/>
      <c r="F189" s="88"/>
      <c r="G189" s="90"/>
      <c r="H189" s="88"/>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65"/>
    </row>
    <row r="190" spans="2:36">
      <c r="B190" s="65"/>
      <c r="C190" s="70"/>
      <c r="D190" s="71"/>
      <c r="E190" s="89"/>
      <c r="F190" s="88"/>
      <c r="G190" s="90"/>
      <c r="H190" s="88"/>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65"/>
    </row>
    <row r="191" spans="2:36">
      <c r="B191" s="65"/>
      <c r="C191" s="70"/>
      <c r="D191" s="71"/>
      <c r="E191" s="89"/>
      <c r="F191" s="88"/>
      <c r="G191" s="90"/>
      <c r="H191" s="88"/>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65"/>
    </row>
    <row r="192" spans="2:36">
      <c r="B192" s="65"/>
      <c r="C192" s="70"/>
      <c r="D192" s="71"/>
      <c r="E192" s="89"/>
      <c r="F192" s="88"/>
      <c r="G192" s="90"/>
      <c r="H192" s="88"/>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65"/>
    </row>
    <row r="193" spans="2:36">
      <c r="B193" s="65"/>
      <c r="C193" s="70"/>
      <c r="D193" s="71"/>
      <c r="E193" s="89"/>
      <c r="F193" s="88"/>
      <c r="G193" s="90"/>
      <c r="H193" s="88"/>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65"/>
    </row>
    <row r="194" spans="2:36">
      <c r="B194" s="65"/>
      <c r="C194" s="70"/>
      <c r="D194" s="71"/>
      <c r="E194" s="89"/>
      <c r="F194" s="88"/>
      <c r="G194" s="90"/>
      <c r="H194" s="88"/>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65"/>
    </row>
    <row r="195" spans="2:36">
      <c r="B195" s="65"/>
      <c r="C195" s="70"/>
      <c r="D195" s="71"/>
      <c r="E195" s="89"/>
      <c r="F195" s="88"/>
      <c r="G195" s="90"/>
      <c r="H195" s="88"/>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65"/>
    </row>
    <row r="196" spans="2:36">
      <c r="B196" s="65"/>
      <c r="C196" s="70"/>
      <c r="D196" s="71"/>
      <c r="E196" s="89"/>
      <c r="F196" s="88"/>
      <c r="G196" s="90"/>
      <c r="H196" s="88"/>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65"/>
    </row>
    <row r="197" spans="2:36">
      <c r="B197" s="65"/>
      <c r="C197" s="70"/>
      <c r="D197" s="71"/>
      <c r="E197" s="89"/>
      <c r="F197" s="88"/>
      <c r="G197" s="90"/>
      <c r="H197" s="88"/>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65"/>
    </row>
    <row r="198" spans="2:36">
      <c r="B198" s="65"/>
      <c r="C198" s="70"/>
      <c r="D198" s="71"/>
      <c r="E198" s="89"/>
      <c r="F198" s="88"/>
      <c r="G198" s="90"/>
      <c r="H198" s="88"/>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65"/>
    </row>
    <row r="199" spans="2:36">
      <c r="B199" s="65"/>
      <c r="C199" s="70"/>
      <c r="D199" s="71"/>
      <c r="E199" s="89"/>
      <c r="F199" s="88"/>
      <c r="G199" s="90"/>
      <c r="H199" s="88"/>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65"/>
    </row>
    <row r="200" spans="2:36">
      <c r="B200" s="65"/>
      <c r="C200" s="70"/>
      <c r="D200" s="71"/>
      <c r="E200" s="89"/>
      <c r="F200" s="88"/>
      <c r="G200" s="90"/>
      <c r="H200" s="88"/>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65"/>
    </row>
    <row r="201" spans="2:36">
      <c r="B201" s="65"/>
      <c r="C201" s="70"/>
      <c r="D201" s="71"/>
      <c r="E201" s="89"/>
      <c r="F201" s="88"/>
      <c r="G201" s="90"/>
      <c r="H201" s="88"/>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65"/>
    </row>
    <row r="202" spans="2:36">
      <c r="B202" s="65"/>
      <c r="C202" s="70"/>
      <c r="D202" s="71"/>
      <c r="E202" s="89"/>
      <c r="F202" s="88"/>
      <c r="G202" s="90"/>
      <c r="H202" s="88"/>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65"/>
    </row>
    <row r="203" spans="2:36">
      <c r="B203" s="65"/>
      <c r="C203" s="70"/>
      <c r="D203" s="84" t="s">
        <v>102</v>
      </c>
      <c r="E203" s="84"/>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65"/>
    </row>
    <row r="204" spans="2:36">
      <c r="B204" s="65"/>
      <c r="C204" s="70"/>
      <c r="D204" s="71"/>
      <c r="E204" s="89" t="s">
        <v>103</v>
      </c>
      <c r="F204" s="88"/>
      <c r="G204" s="90"/>
      <c r="H204" s="88"/>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65"/>
    </row>
    <row r="205" spans="2:36">
      <c r="B205" s="65"/>
      <c r="C205" s="70"/>
      <c r="D205" s="71"/>
      <c r="E205" s="89"/>
      <c r="F205" s="88"/>
      <c r="G205" s="90"/>
      <c r="H205" s="88"/>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65"/>
    </row>
    <row r="206" spans="2:36">
      <c r="B206" s="65"/>
      <c r="C206" s="70"/>
      <c r="D206" s="71"/>
      <c r="E206" s="89"/>
      <c r="F206" s="88"/>
      <c r="G206" s="90"/>
      <c r="H206" s="88"/>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65"/>
    </row>
    <row r="207" spans="2:36">
      <c r="B207" s="65"/>
      <c r="C207" s="70"/>
      <c r="D207" s="92"/>
      <c r="E207" s="89"/>
      <c r="F207" s="88"/>
      <c r="G207" s="90"/>
      <c r="H207" s="88"/>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93"/>
      <c r="AH207" s="94" t="s">
        <v>104</v>
      </c>
      <c r="AI207" s="95" t="s">
        <v>105</v>
      </c>
      <c r="AJ207" s="65"/>
    </row>
    <row r="208" spans="2:36">
      <c r="B208" s="65"/>
      <c r="C208" s="70"/>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65"/>
    </row>
  </sheetData>
  <sheetProtection algorithmName="SHA-512" hashValue="IcYfICjl3XQimJgzO/kgxq5/mZc4qZ6GfZnzqQChNOrE4yfC5MXTvvTCa59jJ3nLVqVxx9ZX2GwiyQfd8I0kRA==" saltValue="c7dPJJdS1Ae/aQzC4KXBrQ==" spinCount="100000" sheet="1"/>
  <mergeCells count="12">
    <mergeCell ref="D16:K16"/>
    <mergeCell ref="L16:AH16"/>
    <mergeCell ref="D14:K14"/>
    <mergeCell ref="L14:AH14"/>
    <mergeCell ref="D11:K11"/>
    <mergeCell ref="L11:AH11"/>
    <mergeCell ref="D12:K12"/>
    <mergeCell ref="L12:AH12"/>
    <mergeCell ref="D13:K13"/>
    <mergeCell ref="L13:AH13"/>
    <mergeCell ref="D15:K15"/>
    <mergeCell ref="L15:AH15"/>
  </mergeCells>
  <phoneticPr fontId="2"/>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X28"/>
  <sheetViews>
    <sheetView zoomScaleNormal="100" workbookViewId="0">
      <selection activeCell="C3" sqref="C3"/>
    </sheetView>
  </sheetViews>
  <sheetFormatPr defaultColWidth="9.109375" defaultRowHeight="15"/>
  <cols>
    <col min="1" max="1" width="2.44140625" style="2" customWidth="1"/>
    <col min="2" max="2" width="6.88671875" style="2" customWidth="1"/>
    <col min="3" max="3" width="35.88671875" style="2" customWidth="1"/>
    <col min="4" max="4" width="47.77734375" style="2" customWidth="1"/>
    <col min="5" max="5" width="10.33203125" style="2" customWidth="1"/>
    <col min="6" max="7" width="24.33203125" style="2" customWidth="1"/>
    <col min="8" max="8" width="19" style="2" customWidth="1"/>
    <col min="9" max="9" width="30.109375" style="2" customWidth="1"/>
    <col min="10" max="10" width="27.44140625" style="2" customWidth="1"/>
    <col min="11" max="11" width="57.5546875" style="2" customWidth="1"/>
    <col min="12" max="12" width="64.33203125" style="2" customWidth="1"/>
    <col min="13" max="13" width="21.44140625" style="2" customWidth="1"/>
    <col min="14" max="14" width="25.109375" style="2" customWidth="1"/>
    <col min="15" max="15" width="30.33203125" style="2" customWidth="1"/>
    <col min="16" max="16" width="3.109375" style="2" customWidth="1"/>
    <col min="17" max="17" width="11.44140625" style="2" customWidth="1"/>
    <col min="18" max="18" width="3.109375" style="2" customWidth="1"/>
    <col min="19" max="24" width="9.5546875" style="2" customWidth="1"/>
    <col min="25" max="16384" width="9.109375" style="2"/>
  </cols>
  <sheetData>
    <row r="2" spans="2:24" ht="46.5" thickBot="1">
      <c r="B2" s="3" t="s">
        <v>106</v>
      </c>
      <c r="C2" s="7" t="s">
        <v>107</v>
      </c>
      <c r="D2" s="7" t="s">
        <v>108</v>
      </c>
      <c r="E2" s="7" t="s">
        <v>109</v>
      </c>
      <c r="F2" s="8" t="s">
        <v>110</v>
      </c>
      <c r="G2" s="8" t="s">
        <v>111</v>
      </c>
      <c r="H2" s="7" t="s">
        <v>112</v>
      </c>
      <c r="I2" s="8" t="s">
        <v>113</v>
      </c>
      <c r="J2" s="7" t="s">
        <v>114</v>
      </c>
      <c r="K2" s="7" t="s">
        <v>115</v>
      </c>
      <c r="L2" s="7" t="s">
        <v>116</v>
      </c>
      <c r="M2" s="8" t="s">
        <v>117</v>
      </c>
      <c r="N2" s="7" t="s">
        <v>118</v>
      </c>
      <c r="O2" s="7" t="s">
        <v>119</v>
      </c>
      <c r="Q2" s="3" t="s">
        <v>120</v>
      </c>
      <c r="S2" s="124" t="s">
        <v>121</v>
      </c>
      <c r="T2" s="124" t="s">
        <v>122</v>
      </c>
      <c r="U2" s="130" t="s">
        <v>123</v>
      </c>
      <c r="V2" s="130" t="s">
        <v>124</v>
      </c>
      <c r="W2" s="130" t="s">
        <v>125</v>
      </c>
      <c r="X2" s="130" t="s">
        <v>126</v>
      </c>
    </row>
    <row r="3" spans="2:24" ht="22.5" thickTop="1">
      <c r="B3" s="19">
        <f>ROW()-ROW($B$2)</f>
        <v>1</v>
      </c>
      <c r="C3" s="132"/>
      <c r="D3" s="133"/>
      <c r="E3" s="133"/>
      <c r="F3" s="134"/>
      <c r="G3" s="17" t="str">
        <f>IF(AND(E3&lt;&gt;"",F3&lt;&gt;""),E3*F3,"-")</f>
        <v>-</v>
      </c>
      <c r="H3" s="141"/>
      <c r="I3" s="133"/>
      <c r="J3" s="133"/>
      <c r="K3" s="133"/>
      <c r="L3" s="142"/>
      <c r="M3" s="131" t="str">
        <f>IFERROR(
 VLOOKUP($J3&amp;"_"&amp;$K3&amp;"_"&amp;$L3, リスト!$R$3:$S$330, 2, 0),
 ""
)</f>
        <v/>
      </c>
      <c r="N3" s="147"/>
      <c r="O3" s="148"/>
      <c r="Q3" s="123" t="str">
        <f ca="1">IF(COUNTIF(S3:X22,"NG")&gt;0,"NG","OK")</f>
        <v>OK</v>
      </c>
      <c r="S3" s="124" t="str">
        <f>IF(
  AND(
    OR($E3="", IF(ISNUMBER($E3), AND($E3&gt;0, $E3=INT($E3)), FALSE)),
    OR($F3="", IF(ISNUMBER($F3), AND($F3&gt;0, $F3=INT($F3)), FALSE)),
    OR($M3="", IF(ISNUMBER($M3), AND($M3&gt;0, $M3=INT($M3)), FALSE)),
    OR($H3="", AND(ISNUMBER($H3), $H3&gt;=DATE(2025,7,15), $H3&lt;=DATE(2075,12,31)))
  ),
  "OK","NG"
)</f>
        <v>OK</v>
      </c>
      <c r="T3" s="124" t="str">
        <f>IF(
  OR(
    $D3="",
    AND($D3&lt;&gt;"",$C3&lt;&gt;"",$E3&lt;&gt;"",$F3&lt;&gt;"",$H3&lt;&gt;"",$I3&lt;&gt;"",$J3&lt;&gt;"",IF(OR($C3=リスト!$A$4,$C3=リスト!$A$6),$O3&lt;&gt;"",TRUE))
  ),
  "OK","NG"
)</f>
        <v>OK</v>
      </c>
      <c r="U3" s="124" t="str">
        <f ca="1">IF(
 AND(
   $J3&lt;&gt;"",
   IFERROR(MATCH($J3, INDIRECT($J$2&amp;"_"&amp;$C3), 0), 0) = 0
 ),
 "NG",
 "OK"
)</f>
        <v>OK</v>
      </c>
      <c r="V3" s="124" t="str">
        <f ca="1">IF(
 AND(
   $K3&lt;&gt;"",
   IFERROR(MATCH($K3, INDIRECT($K$2&amp;"_"&amp;$J3), 0), 0) = 0
 ),
 "NG",
 "OK"
)</f>
        <v>OK</v>
      </c>
      <c r="W3" s="124" t="str">
        <f ca="1">IF(
 AND(
  $L3&lt;&gt;"",
  IF(
    COUNTIF(リスト!$F$3:$F$41, $J3)&gt;0,
    IFERROR(
      COUNTIF(
        OFFSET(
          リスト!$L$3,
          MATCH($K3, リスト!$J:$J, 0)-3,
          0,
          COUNTIF(リスト!$J:$J, $K3)
        ),
        $L3
      ),
      0
    )=0,
    IFERROR(
      COUNTIF(
        OFFSET(
          リスト!$L$3,
          MATCH($J3, リスト!$I:$I, 0)-3,
          0,
          COUNTIF(リスト!$I:$I, $J3)
        ),
        $L3
      ),
      0
    )=0
  )
 ),"NG","OK"
)</f>
        <v>OK</v>
      </c>
      <c r="X3" s="124" t="str">
        <f ca="1">IF(
 AND(
   $O3&lt;&gt;"",
   IFERROR(MATCH($O3, INDIRECT("類型・種類_"&amp;$C3), 0), 0) = 0
 ),
 "NG",
 "OK"
)</f>
        <v>OK</v>
      </c>
    </row>
    <row r="4" spans="2:24" ht="21.95">
      <c r="B4" s="19">
        <f t="shared" ref="B4:B22" si="0">ROW()-ROW($B$2)</f>
        <v>2</v>
      </c>
      <c r="C4" s="135"/>
      <c r="D4" s="136"/>
      <c r="E4" s="136"/>
      <c r="F4" s="137"/>
      <c r="G4" s="17" t="str">
        <f t="shared" ref="G4:G22" si="1">IF(AND(E4&lt;&gt;"",F4&lt;&gt;""),E4*F4,"-")</f>
        <v>-</v>
      </c>
      <c r="H4" s="143"/>
      <c r="I4" s="136"/>
      <c r="J4" s="136"/>
      <c r="K4" s="136"/>
      <c r="L4" s="144"/>
      <c r="M4" s="131" t="str">
        <f>IFERROR(
 VLOOKUP($J4&amp;"_"&amp;$K4&amp;"_"&amp;$L4, リスト!$R$3:$S$330, 2, 0),
 ""
)</f>
        <v/>
      </c>
      <c r="N4" s="149"/>
      <c r="O4" s="150"/>
      <c r="S4" s="124" t="str">
        <f t="shared" ref="S4:S22" si="2">IF(
  AND(
    OR($E4="", IF(ISNUMBER($E4), AND($E4&gt;0, $E4=INT($E4)), FALSE)),
    OR($F4="", IF(ISNUMBER($F4), AND($F4&gt;0, $F4=INT($F4)), FALSE)),
    OR($M4="", IF(ISNUMBER($M4), AND($M4&gt;0, $M4=INT($M4)), FALSE)),
    OR($H4="", AND(ISNUMBER($H4), $H4&gt;=DATE(2025,7,15), $H4&lt;=DATE(2075,12,31)))
  ),
  "OK","NG"
)</f>
        <v>OK</v>
      </c>
      <c r="T4" s="124" t="str">
        <f>IF(
  OR(
    $D4="",
    AND($D4&lt;&gt;"",$C4&lt;&gt;"",$E4&lt;&gt;"",$F4&lt;&gt;"",$H4&lt;&gt;"",$I4&lt;&gt;"",$J4&lt;&gt;"",IF(OR($C4=リスト!$A$4,$C4=リスト!$A$6),$O4&lt;&gt;"",TRUE))
  ),
  "OK","NG"
)</f>
        <v>OK</v>
      </c>
      <c r="U4" s="124" t="str">
        <f t="shared" ref="U4:U22" ca="1" si="3">IF(
 AND(
   $J4&lt;&gt;"",
   IFERROR(MATCH($J4, INDIRECT($J$2&amp;"_"&amp;$C4), 0), 0) = 0
 ),
 "NG",
 "OK"
)</f>
        <v>OK</v>
      </c>
      <c r="V4" s="124" t="str">
        <f t="shared" ref="V4:V22" ca="1" si="4">IF(
 AND(
   $K4&lt;&gt;"",
   IFERROR(MATCH($K4, INDIRECT($K$2&amp;"_"&amp;$J4), 0), 0) = 0
 ),
 "NG",
 "OK"
)</f>
        <v>OK</v>
      </c>
      <c r="W4" s="124" t="str">
        <f ca="1">IF(
 AND(
  $L4&lt;&gt;"",
  IF(
    COUNTIF(リスト!$F$3:$F$41, $J4)&gt;0,
    IFERROR(
      COUNTIF(
        OFFSET(
          リスト!$L$3,
          MATCH($K4, リスト!$J:$J, 0)-3,
          0,
          COUNTIF(リスト!$J:$J, $K4)
        ),
        $L4
      ),
      0
    )=0,
    IFERROR(
      COUNTIF(
        OFFSET(
          リスト!$L$3,
          MATCH($J4, リスト!$I:$I, 0)-3,
          0,
          COUNTIF(リスト!$I:$I, $J4)
        ),
        $L4
      ),
      0
    )=0
  )
 ),"NG","OK"
)</f>
        <v>OK</v>
      </c>
      <c r="X4" s="124" t="str">
        <f t="shared" ref="X4:X22" ca="1" si="5">IF(
 AND(
   $O4&lt;&gt;"",
   IFERROR(MATCH($O4, INDIRECT("類型・種類_"&amp;$C4), 0), 0) = 0
 ),
 "NG",
 "OK"
)</f>
        <v>OK</v>
      </c>
    </row>
    <row r="5" spans="2:24" ht="21.95">
      <c r="B5" s="19">
        <f t="shared" si="0"/>
        <v>3</v>
      </c>
      <c r="C5" s="135"/>
      <c r="D5" s="136"/>
      <c r="E5" s="136"/>
      <c r="F5" s="137"/>
      <c r="G5" s="17" t="str">
        <f t="shared" si="1"/>
        <v>-</v>
      </c>
      <c r="H5" s="143"/>
      <c r="I5" s="136"/>
      <c r="J5" s="136"/>
      <c r="K5" s="136"/>
      <c r="L5" s="144"/>
      <c r="M5" s="131" t="str">
        <f>IFERROR(
 VLOOKUP($J5&amp;"_"&amp;$K5&amp;"_"&amp;$L5, リスト!$R$3:$S$330, 2, 0),
 ""
)</f>
        <v/>
      </c>
      <c r="N5" s="149"/>
      <c r="O5" s="150"/>
      <c r="S5" s="124" t="str">
        <f t="shared" si="2"/>
        <v>OK</v>
      </c>
      <c r="T5" s="124" t="str">
        <f>IF(
  OR(
    $D5="",
    AND($D5&lt;&gt;"",$C5&lt;&gt;"",$E5&lt;&gt;"",$F5&lt;&gt;"",$H5&lt;&gt;"",$I5&lt;&gt;"",$J5&lt;&gt;"",IF(OR($C5=リスト!$A$4,$C5=リスト!$A$6),$O5&lt;&gt;"",TRUE))
  ),
  "OK","NG"
)</f>
        <v>OK</v>
      </c>
      <c r="U5" s="124" t="str">
        <f t="shared" ca="1" si="3"/>
        <v>OK</v>
      </c>
      <c r="V5" s="124" t="str">
        <f t="shared" ca="1" si="4"/>
        <v>OK</v>
      </c>
      <c r="W5" s="124" t="str">
        <f ca="1">IF(
 AND(
  $L5&lt;&gt;"",
  IF(
    COUNTIF(リスト!$F$3:$F$41, $J5)&gt;0,
    IFERROR(
      COUNTIF(
        OFFSET(
          リスト!$L$3,
          MATCH($K5, リスト!$J:$J, 0)-3,
          0,
          COUNTIF(リスト!$J:$J, $K5)
        ),
        $L5
      ),
      0
    )=0,
    IFERROR(
      COUNTIF(
        OFFSET(
          リスト!$L$3,
          MATCH($J5, リスト!$I:$I, 0)-3,
          0,
          COUNTIF(リスト!$I:$I, $J5)
        ),
        $L5
      ),
      0
    )=0
  )
 ),"NG","OK"
)</f>
        <v>OK</v>
      </c>
      <c r="X5" s="124" t="str">
        <f t="shared" ca="1" si="5"/>
        <v>OK</v>
      </c>
    </row>
    <row r="6" spans="2:24" ht="21.95">
      <c r="B6" s="19">
        <f t="shared" si="0"/>
        <v>4</v>
      </c>
      <c r="C6" s="135"/>
      <c r="D6" s="136"/>
      <c r="E6" s="136"/>
      <c r="F6" s="137"/>
      <c r="G6" s="17" t="str">
        <f t="shared" si="1"/>
        <v>-</v>
      </c>
      <c r="H6" s="143"/>
      <c r="I6" s="136"/>
      <c r="J6" s="136"/>
      <c r="K6" s="136"/>
      <c r="L6" s="144"/>
      <c r="M6" s="131" t="str">
        <f>IFERROR(
 VLOOKUP($J6&amp;"_"&amp;$K6&amp;"_"&amp;$L6, リスト!$R$3:$S$330, 2, 0),
 ""
)</f>
        <v/>
      </c>
      <c r="N6" s="149"/>
      <c r="O6" s="150"/>
      <c r="S6" s="124" t="str">
        <f t="shared" si="2"/>
        <v>OK</v>
      </c>
      <c r="T6" s="124" t="str">
        <f>IF(
  OR(
    $D6="",
    AND($D6&lt;&gt;"",$C6&lt;&gt;"",$E6&lt;&gt;"",$F6&lt;&gt;"",$H6&lt;&gt;"",$I6&lt;&gt;"",$J6&lt;&gt;"",IF(OR($C6=リスト!$A$4,$C6=リスト!$A$6),$O6&lt;&gt;"",TRUE))
  ),
  "OK","NG"
)</f>
        <v>OK</v>
      </c>
      <c r="U6" s="124" t="str">
        <f t="shared" ca="1" si="3"/>
        <v>OK</v>
      </c>
      <c r="V6" s="124" t="str">
        <f t="shared" ca="1" si="4"/>
        <v>OK</v>
      </c>
      <c r="W6" s="124" t="str">
        <f ca="1">IF(
 AND(
  $L6&lt;&gt;"",
  IF(
    COUNTIF(リスト!$F$3:$F$41, $J6)&gt;0,
    IFERROR(
      COUNTIF(
        OFFSET(
          リスト!$L$3,
          MATCH($K6, リスト!$J:$J, 0)-3,
          0,
          COUNTIF(リスト!$J:$J, $K6)
        ),
        $L6
      ),
      0
    )=0,
    IFERROR(
      COUNTIF(
        OFFSET(
          リスト!$L$3,
          MATCH($J6, リスト!$I:$I, 0)-3,
          0,
          COUNTIF(リスト!$I:$I, $J6)
        ),
        $L6
      ),
      0
    )=0
  )
 ),"NG","OK"
)</f>
        <v>OK</v>
      </c>
      <c r="X6" s="124" t="str">
        <f t="shared" ca="1" si="5"/>
        <v>OK</v>
      </c>
    </row>
    <row r="7" spans="2:24" ht="21.95">
      <c r="B7" s="19">
        <f t="shared" si="0"/>
        <v>5</v>
      </c>
      <c r="C7" s="135"/>
      <c r="D7" s="136"/>
      <c r="E7" s="136"/>
      <c r="F7" s="137"/>
      <c r="G7" s="17" t="str">
        <f t="shared" si="1"/>
        <v>-</v>
      </c>
      <c r="H7" s="143"/>
      <c r="I7" s="136"/>
      <c r="J7" s="136"/>
      <c r="K7" s="136"/>
      <c r="L7" s="144"/>
      <c r="M7" s="131" t="str">
        <f>IFERROR(
 VLOOKUP($J7&amp;"_"&amp;$K7&amp;"_"&amp;$L7, リスト!$R$3:$S$330, 2, 0),
 ""
)</f>
        <v/>
      </c>
      <c r="N7" s="149"/>
      <c r="O7" s="150"/>
      <c r="S7" s="124" t="str">
        <f t="shared" si="2"/>
        <v>OK</v>
      </c>
      <c r="T7" s="124" t="str">
        <f>IF(
  OR(
    $D7="",
    AND($D7&lt;&gt;"",$C7&lt;&gt;"",$E7&lt;&gt;"",$F7&lt;&gt;"",$H7&lt;&gt;"",$I7&lt;&gt;"",$J7&lt;&gt;"",IF(OR($C7=リスト!$A$4,$C7=リスト!$A$6),$O7&lt;&gt;"",TRUE))
  ),
  "OK","NG"
)</f>
        <v>OK</v>
      </c>
      <c r="U7" s="124" t="str">
        <f t="shared" ca="1" si="3"/>
        <v>OK</v>
      </c>
      <c r="V7" s="124" t="str">
        <f t="shared" ca="1" si="4"/>
        <v>OK</v>
      </c>
      <c r="W7" s="124" t="str">
        <f ca="1">IF(
 AND(
  $L7&lt;&gt;"",
  IF(
    COUNTIF(リスト!$F$3:$F$41, $J7)&gt;0,
    IFERROR(
      COUNTIF(
        OFFSET(
          リスト!$L$3,
          MATCH($K7, リスト!$J:$J, 0)-3,
          0,
          COUNTIF(リスト!$J:$J, $K7)
        ),
        $L7
      ),
      0
    )=0,
    IFERROR(
      COUNTIF(
        OFFSET(
          リスト!$L$3,
          MATCH($J7, リスト!$I:$I, 0)-3,
          0,
          COUNTIF(リスト!$I:$I, $J7)
        ),
        $L7
      ),
      0
    )=0
  )
 ),"NG","OK"
)</f>
        <v>OK</v>
      </c>
      <c r="X7" s="124" t="str">
        <f t="shared" ca="1" si="5"/>
        <v>OK</v>
      </c>
    </row>
    <row r="8" spans="2:24" ht="21.95">
      <c r="B8" s="19">
        <f t="shared" si="0"/>
        <v>6</v>
      </c>
      <c r="C8" s="135"/>
      <c r="D8" s="136"/>
      <c r="E8" s="136"/>
      <c r="F8" s="137"/>
      <c r="G8" s="17" t="str">
        <f t="shared" si="1"/>
        <v>-</v>
      </c>
      <c r="H8" s="143"/>
      <c r="I8" s="136"/>
      <c r="J8" s="136"/>
      <c r="K8" s="136"/>
      <c r="L8" s="144"/>
      <c r="M8" s="131" t="str">
        <f>IFERROR(
 VLOOKUP($J8&amp;"_"&amp;$K8&amp;"_"&amp;$L8, リスト!$R$3:$S$330, 2, 0),
 ""
)</f>
        <v/>
      </c>
      <c r="N8" s="149"/>
      <c r="O8" s="150"/>
      <c r="S8" s="124" t="str">
        <f t="shared" si="2"/>
        <v>OK</v>
      </c>
      <c r="T8" s="124" t="str">
        <f>IF(
  OR(
    $D8="",
    AND($D8&lt;&gt;"",$C8&lt;&gt;"",$E8&lt;&gt;"",$F8&lt;&gt;"",$H8&lt;&gt;"",$I8&lt;&gt;"",$J8&lt;&gt;"",IF(OR($C8=リスト!$A$4,$C8=リスト!$A$6),$O8&lt;&gt;"",TRUE))
  ),
  "OK","NG"
)</f>
        <v>OK</v>
      </c>
      <c r="U8" s="124" t="str">
        <f t="shared" ca="1" si="3"/>
        <v>OK</v>
      </c>
      <c r="V8" s="124" t="str">
        <f t="shared" ca="1" si="4"/>
        <v>OK</v>
      </c>
      <c r="W8" s="124" t="str">
        <f ca="1">IF(
 AND(
  $L8&lt;&gt;"",
  IF(
    COUNTIF(リスト!$F$3:$F$41, $J8)&gt;0,
    IFERROR(
      COUNTIF(
        OFFSET(
          リスト!$L$3,
          MATCH($K8, リスト!$J:$J, 0)-3,
          0,
          COUNTIF(リスト!$J:$J, $K8)
        ),
        $L8
      ),
      0
    )=0,
    IFERROR(
      COUNTIF(
        OFFSET(
          リスト!$L$3,
          MATCH($J8, リスト!$I:$I, 0)-3,
          0,
          COUNTIF(リスト!$I:$I, $J8)
        ),
        $L8
      ),
      0
    )=0
  )
 ),"NG","OK"
)</f>
        <v>OK</v>
      </c>
      <c r="X8" s="124" t="str">
        <f t="shared" ca="1" si="5"/>
        <v>OK</v>
      </c>
    </row>
    <row r="9" spans="2:24" ht="21.95">
      <c r="B9" s="19">
        <f t="shared" si="0"/>
        <v>7</v>
      </c>
      <c r="C9" s="135"/>
      <c r="D9" s="136"/>
      <c r="E9" s="136"/>
      <c r="F9" s="137"/>
      <c r="G9" s="17" t="str">
        <f t="shared" si="1"/>
        <v>-</v>
      </c>
      <c r="H9" s="143"/>
      <c r="I9" s="136"/>
      <c r="J9" s="136"/>
      <c r="K9" s="136"/>
      <c r="L9" s="144"/>
      <c r="M9" s="131" t="str">
        <f>IFERROR(
 VLOOKUP($J9&amp;"_"&amp;$K9&amp;"_"&amp;$L9, リスト!$R$3:$S$330, 2, 0),
 ""
)</f>
        <v/>
      </c>
      <c r="N9" s="149"/>
      <c r="O9" s="150"/>
      <c r="S9" s="124" t="str">
        <f t="shared" si="2"/>
        <v>OK</v>
      </c>
      <c r="T9" s="124" t="str">
        <f>IF(
  OR(
    $D9="",
    AND($D9&lt;&gt;"",$C9&lt;&gt;"",$E9&lt;&gt;"",$F9&lt;&gt;"",$H9&lt;&gt;"",$I9&lt;&gt;"",$J9&lt;&gt;"",IF(OR($C9=リスト!$A$4,$C9=リスト!$A$6),$O9&lt;&gt;"",TRUE))
  ),
  "OK","NG"
)</f>
        <v>OK</v>
      </c>
      <c r="U9" s="124" t="str">
        <f t="shared" ca="1" si="3"/>
        <v>OK</v>
      </c>
      <c r="V9" s="124" t="str">
        <f t="shared" ca="1" si="4"/>
        <v>OK</v>
      </c>
      <c r="W9" s="124" t="str">
        <f ca="1">IF(
 AND(
  $L9&lt;&gt;"",
  IF(
    COUNTIF(リスト!$F$3:$F$41, $J9)&gt;0,
    IFERROR(
      COUNTIF(
        OFFSET(
          リスト!$L$3,
          MATCH($K9, リスト!$J:$J, 0)-3,
          0,
          COUNTIF(リスト!$J:$J, $K9)
        ),
        $L9
      ),
      0
    )=0,
    IFERROR(
      COUNTIF(
        OFFSET(
          リスト!$L$3,
          MATCH($J9, リスト!$I:$I, 0)-3,
          0,
          COUNTIF(リスト!$I:$I, $J9)
        ),
        $L9
      ),
      0
    )=0
  )
 ),"NG","OK"
)</f>
        <v>OK</v>
      </c>
      <c r="X9" s="124" t="str">
        <f t="shared" ca="1" si="5"/>
        <v>OK</v>
      </c>
    </row>
    <row r="10" spans="2:24" ht="21.95">
      <c r="B10" s="19">
        <f t="shared" si="0"/>
        <v>8</v>
      </c>
      <c r="C10" s="135"/>
      <c r="D10" s="136"/>
      <c r="E10" s="136"/>
      <c r="F10" s="137"/>
      <c r="G10" s="17" t="str">
        <f t="shared" si="1"/>
        <v>-</v>
      </c>
      <c r="H10" s="143"/>
      <c r="I10" s="136"/>
      <c r="J10" s="136"/>
      <c r="K10" s="136"/>
      <c r="L10" s="144"/>
      <c r="M10" s="131" t="str">
        <f>IFERROR(
 VLOOKUP($J10&amp;"_"&amp;$K10&amp;"_"&amp;$L10, リスト!$R$3:$S$330, 2, 0),
 ""
)</f>
        <v/>
      </c>
      <c r="N10" s="149"/>
      <c r="O10" s="150"/>
      <c r="S10" s="124" t="str">
        <f t="shared" si="2"/>
        <v>OK</v>
      </c>
      <c r="T10" s="124" t="str">
        <f>IF(
  OR(
    $D10="",
    AND($D10&lt;&gt;"",$C10&lt;&gt;"",$E10&lt;&gt;"",$F10&lt;&gt;"",$H10&lt;&gt;"",$I10&lt;&gt;"",$J10&lt;&gt;"",IF(OR($C10=リスト!$A$4,$C10=リスト!$A$6),$O10&lt;&gt;"",TRUE))
  ),
  "OK","NG"
)</f>
        <v>OK</v>
      </c>
      <c r="U10" s="124" t="str">
        <f t="shared" ca="1" si="3"/>
        <v>OK</v>
      </c>
      <c r="V10" s="124" t="str">
        <f t="shared" ca="1" si="4"/>
        <v>OK</v>
      </c>
      <c r="W10" s="124" t="str">
        <f ca="1">IF(
 AND(
  $L10&lt;&gt;"",
  IF(
    COUNTIF(リスト!$F$3:$F$41, $J10)&gt;0,
    IFERROR(
      COUNTIF(
        OFFSET(
          リスト!$L$3,
          MATCH($K10, リスト!$J:$J, 0)-3,
          0,
          COUNTIF(リスト!$J:$J, $K10)
        ),
        $L10
      ),
      0
    )=0,
    IFERROR(
      COUNTIF(
        OFFSET(
          リスト!$L$3,
          MATCH($J10, リスト!$I:$I, 0)-3,
          0,
          COUNTIF(リスト!$I:$I, $J10)
        ),
        $L10
      ),
      0
    )=0
  )
 ),"NG","OK"
)</f>
        <v>OK</v>
      </c>
      <c r="X10" s="124" t="str">
        <f t="shared" ca="1" si="5"/>
        <v>OK</v>
      </c>
    </row>
    <row r="11" spans="2:24" ht="21.95">
      <c r="B11" s="19">
        <f t="shared" si="0"/>
        <v>9</v>
      </c>
      <c r="C11" s="135"/>
      <c r="D11" s="136"/>
      <c r="E11" s="136"/>
      <c r="F11" s="137"/>
      <c r="G11" s="17" t="str">
        <f t="shared" si="1"/>
        <v>-</v>
      </c>
      <c r="H11" s="143"/>
      <c r="I11" s="136"/>
      <c r="J11" s="136"/>
      <c r="K11" s="136"/>
      <c r="L11" s="144"/>
      <c r="M11" s="131" t="str">
        <f>IFERROR(
 VLOOKUP($J11&amp;"_"&amp;$K11&amp;"_"&amp;$L11, リスト!$R$3:$S$330, 2, 0),
 ""
)</f>
        <v/>
      </c>
      <c r="N11" s="149"/>
      <c r="O11" s="150"/>
      <c r="S11" s="124" t="str">
        <f t="shared" si="2"/>
        <v>OK</v>
      </c>
      <c r="T11" s="124" t="str">
        <f>IF(
  OR(
    $D11="",
    AND($D11&lt;&gt;"",$C11&lt;&gt;"",$E11&lt;&gt;"",$F11&lt;&gt;"",$H11&lt;&gt;"",$I11&lt;&gt;"",$J11&lt;&gt;"",IF(OR($C11=リスト!$A$4,$C11=リスト!$A$6),$O11&lt;&gt;"",TRUE))
  ),
  "OK","NG"
)</f>
        <v>OK</v>
      </c>
      <c r="U11" s="124" t="str">
        <f t="shared" ca="1" si="3"/>
        <v>OK</v>
      </c>
      <c r="V11" s="124" t="str">
        <f t="shared" ca="1" si="4"/>
        <v>OK</v>
      </c>
      <c r="W11" s="124" t="str">
        <f ca="1">IF(
 AND(
  $L11&lt;&gt;"",
  IF(
    COUNTIF(リスト!$F$3:$F$41, $J11)&gt;0,
    IFERROR(
      COUNTIF(
        OFFSET(
          リスト!$L$3,
          MATCH($K11, リスト!$J:$J, 0)-3,
          0,
          COUNTIF(リスト!$J:$J, $K11)
        ),
        $L11
      ),
      0
    )=0,
    IFERROR(
      COUNTIF(
        OFFSET(
          リスト!$L$3,
          MATCH($J11, リスト!$I:$I, 0)-3,
          0,
          COUNTIF(リスト!$I:$I, $J11)
        ),
        $L11
      ),
      0
    )=0
  )
 ),"NG","OK"
)</f>
        <v>OK</v>
      </c>
      <c r="X11" s="124" t="str">
        <f t="shared" ca="1" si="5"/>
        <v>OK</v>
      </c>
    </row>
    <row r="12" spans="2:24" ht="21.95">
      <c r="B12" s="19">
        <f t="shared" si="0"/>
        <v>10</v>
      </c>
      <c r="C12" s="135"/>
      <c r="D12" s="136"/>
      <c r="E12" s="136"/>
      <c r="F12" s="137"/>
      <c r="G12" s="17" t="str">
        <f t="shared" si="1"/>
        <v>-</v>
      </c>
      <c r="H12" s="143"/>
      <c r="I12" s="136"/>
      <c r="J12" s="136"/>
      <c r="K12" s="136"/>
      <c r="L12" s="144"/>
      <c r="M12" s="131" t="str">
        <f>IFERROR(
 VLOOKUP($J12&amp;"_"&amp;$K12&amp;"_"&amp;$L12, リスト!$R$3:$S$330, 2, 0),
 ""
)</f>
        <v/>
      </c>
      <c r="N12" s="149"/>
      <c r="O12" s="150"/>
      <c r="S12" s="124" t="str">
        <f t="shared" si="2"/>
        <v>OK</v>
      </c>
      <c r="T12" s="124" t="str">
        <f>IF(
  OR(
    $D12="",
    AND($D12&lt;&gt;"",$C12&lt;&gt;"",$E12&lt;&gt;"",$F12&lt;&gt;"",$H12&lt;&gt;"",$I12&lt;&gt;"",$J12&lt;&gt;"",IF(OR($C12=リスト!$A$4,$C12=リスト!$A$6),$O12&lt;&gt;"",TRUE))
  ),
  "OK","NG"
)</f>
        <v>OK</v>
      </c>
      <c r="U12" s="124" t="str">
        <f t="shared" ca="1" si="3"/>
        <v>OK</v>
      </c>
      <c r="V12" s="124" t="str">
        <f t="shared" ca="1" si="4"/>
        <v>OK</v>
      </c>
      <c r="W12" s="124" t="str">
        <f ca="1">IF(
 AND(
  $L12&lt;&gt;"",
  IF(
    COUNTIF(リスト!$F$3:$F$41, $J12)&gt;0,
    IFERROR(
      COUNTIF(
        OFFSET(
          リスト!$L$3,
          MATCH($K12, リスト!$J:$J, 0)-3,
          0,
          COUNTIF(リスト!$J:$J, $K12)
        ),
        $L12
      ),
      0
    )=0,
    IFERROR(
      COUNTIF(
        OFFSET(
          リスト!$L$3,
          MATCH($J12, リスト!$I:$I, 0)-3,
          0,
          COUNTIF(リスト!$I:$I, $J12)
        ),
        $L12
      ),
      0
    )=0
  )
 ),"NG","OK"
)</f>
        <v>OK</v>
      </c>
      <c r="X12" s="124" t="str">
        <f t="shared" ca="1" si="5"/>
        <v>OK</v>
      </c>
    </row>
    <row r="13" spans="2:24" ht="21.95">
      <c r="B13" s="19">
        <f t="shared" si="0"/>
        <v>11</v>
      </c>
      <c r="C13" s="135"/>
      <c r="D13" s="136"/>
      <c r="E13" s="136"/>
      <c r="F13" s="137"/>
      <c r="G13" s="17" t="str">
        <f t="shared" si="1"/>
        <v>-</v>
      </c>
      <c r="H13" s="143"/>
      <c r="I13" s="136"/>
      <c r="J13" s="136"/>
      <c r="K13" s="136"/>
      <c r="L13" s="144"/>
      <c r="M13" s="131" t="str">
        <f>IFERROR(
 VLOOKUP($J13&amp;"_"&amp;$K13&amp;"_"&amp;$L13, リスト!$R$3:$S$330, 2, 0),
 ""
)</f>
        <v/>
      </c>
      <c r="N13" s="149"/>
      <c r="O13" s="150"/>
      <c r="S13" s="124" t="str">
        <f t="shared" si="2"/>
        <v>OK</v>
      </c>
      <c r="T13" s="124" t="str">
        <f>IF(
  OR(
    $D13="",
    AND($D13&lt;&gt;"",$C13&lt;&gt;"",$E13&lt;&gt;"",$F13&lt;&gt;"",$H13&lt;&gt;"",$I13&lt;&gt;"",$J13&lt;&gt;"",IF(OR($C13=リスト!$A$4,$C13=リスト!$A$6),$O13&lt;&gt;"",TRUE))
  ),
  "OK","NG"
)</f>
        <v>OK</v>
      </c>
      <c r="U13" s="124" t="str">
        <f t="shared" ca="1" si="3"/>
        <v>OK</v>
      </c>
      <c r="V13" s="124" t="str">
        <f t="shared" ca="1" si="4"/>
        <v>OK</v>
      </c>
      <c r="W13" s="124" t="str">
        <f ca="1">IF(
 AND(
  $L13&lt;&gt;"",
  IF(
    COUNTIF(リスト!$F$3:$F$41, $J13)&gt;0,
    IFERROR(
      COUNTIF(
        OFFSET(
          リスト!$L$3,
          MATCH($K13, リスト!$J:$J, 0)-3,
          0,
          COUNTIF(リスト!$J:$J, $K13)
        ),
        $L13
      ),
      0
    )=0,
    IFERROR(
      COUNTIF(
        OFFSET(
          リスト!$L$3,
          MATCH($J13, リスト!$I:$I, 0)-3,
          0,
          COUNTIF(リスト!$I:$I, $J13)
        ),
        $L13
      ),
      0
    )=0
  )
 ),"NG","OK"
)</f>
        <v>OK</v>
      </c>
      <c r="X13" s="124" t="str">
        <f t="shared" ca="1" si="5"/>
        <v>OK</v>
      </c>
    </row>
    <row r="14" spans="2:24" ht="21.95">
      <c r="B14" s="19">
        <f t="shared" si="0"/>
        <v>12</v>
      </c>
      <c r="C14" s="135"/>
      <c r="D14" s="136"/>
      <c r="E14" s="136"/>
      <c r="F14" s="137"/>
      <c r="G14" s="17" t="str">
        <f t="shared" si="1"/>
        <v>-</v>
      </c>
      <c r="H14" s="143"/>
      <c r="I14" s="136"/>
      <c r="J14" s="136"/>
      <c r="K14" s="136"/>
      <c r="L14" s="144"/>
      <c r="M14" s="131" t="str">
        <f>IFERROR(
 VLOOKUP($J14&amp;"_"&amp;$K14&amp;"_"&amp;$L14, リスト!$R$3:$S$330, 2, 0),
 ""
)</f>
        <v/>
      </c>
      <c r="N14" s="149"/>
      <c r="O14" s="150"/>
      <c r="S14" s="124" t="str">
        <f t="shared" si="2"/>
        <v>OK</v>
      </c>
      <c r="T14" s="124" t="str">
        <f>IF(
  OR(
    $D14="",
    AND($D14&lt;&gt;"",$C14&lt;&gt;"",$E14&lt;&gt;"",$F14&lt;&gt;"",$H14&lt;&gt;"",$I14&lt;&gt;"",$J14&lt;&gt;"",IF(OR($C14=リスト!$A$4,$C14=リスト!$A$6),$O14&lt;&gt;"",TRUE))
  ),
  "OK","NG"
)</f>
        <v>OK</v>
      </c>
      <c r="U14" s="124" t="str">
        <f t="shared" ca="1" si="3"/>
        <v>OK</v>
      </c>
      <c r="V14" s="124" t="str">
        <f t="shared" ca="1" si="4"/>
        <v>OK</v>
      </c>
      <c r="W14" s="124" t="str">
        <f ca="1">IF(
 AND(
  $L14&lt;&gt;"",
  IF(
    COUNTIF(リスト!$F$3:$F$41, $J14)&gt;0,
    IFERROR(
      COUNTIF(
        OFFSET(
          リスト!$L$3,
          MATCH($K14, リスト!$J:$J, 0)-3,
          0,
          COUNTIF(リスト!$J:$J, $K14)
        ),
        $L14
      ),
      0
    )=0,
    IFERROR(
      COUNTIF(
        OFFSET(
          リスト!$L$3,
          MATCH($J14, リスト!$I:$I, 0)-3,
          0,
          COUNTIF(リスト!$I:$I, $J14)
        ),
        $L14
      ),
      0
    )=0
  )
 ),"NG","OK"
)</f>
        <v>OK</v>
      </c>
      <c r="X14" s="124" t="str">
        <f t="shared" ca="1" si="5"/>
        <v>OK</v>
      </c>
    </row>
    <row r="15" spans="2:24" ht="21.95">
      <c r="B15" s="19">
        <f t="shared" si="0"/>
        <v>13</v>
      </c>
      <c r="C15" s="135"/>
      <c r="D15" s="136"/>
      <c r="E15" s="136"/>
      <c r="F15" s="137"/>
      <c r="G15" s="17" t="str">
        <f t="shared" si="1"/>
        <v>-</v>
      </c>
      <c r="H15" s="143"/>
      <c r="I15" s="136"/>
      <c r="J15" s="136"/>
      <c r="K15" s="136"/>
      <c r="L15" s="144"/>
      <c r="M15" s="131" t="str">
        <f>IFERROR(
 VLOOKUP($J15&amp;"_"&amp;$K15&amp;"_"&amp;$L15, リスト!$R$3:$S$330, 2, 0),
 ""
)</f>
        <v/>
      </c>
      <c r="N15" s="149"/>
      <c r="O15" s="150"/>
      <c r="S15" s="124" t="str">
        <f t="shared" si="2"/>
        <v>OK</v>
      </c>
      <c r="T15" s="124" t="str">
        <f>IF(
  OR(
    $D15="",
    AND($D15&lt;&gt;"",$C15&lt;&gt;"",$E15&lt;&gt;"",$F15&lt;&gt;"",$H15&lt;&gt;"",$I15&lt;&gt;"",$J15&lt;&gt;"",IF(OR($C15=リスト!$A$4,$C15=リスト!$A$6),$O15&lt;&gt;"",TRUE))
  ),
  "OK","NG"
)</f>
        <v>OK</v>
      </c>
      <c r="U15" s="124" t="str">
        <f t="shared" ca="1" si="3"/>
        <v>OK</v>
      </c>
      <c r="V15" s="124" t="str">
        <f t="shared" ca="1" si="4"/>
        <v>OK</v>
      </c>
      <c r="W15" s="124" t="str">
        <f ca="1">IF(
 AND(
  $L15&lt;&gt;"",
  IF(
    COUNTIF(リスト!$F$3:$F$41, $J15)&gt;0,
    IFERROR(
      COUNTIF(
        OFFSET(
          リスト!$L$3,
          MATCH($K15, リスト!$J:$J, 0)-3,
          0,
          COUNTIF(リスト!$J:$J, $K15)
        ),
        $L15
      ),
      0
    )=0,
    IFERROR(
      COUNTIF(
        OFFSET(
          リスト!$L$3,
          MATCH($J15, リスト!$I:$I, 0)-3,
          0,
          COUNTIF(リスト!$I:$I, $J15)
        ),
        $L15
      ),
      0
    )=0
  )
 ),"NG","OK"
)</f>
        <v>OK</v>
      </c>
      <c r="X15" s="124" t="str">
        <f t="shared" ca="1" si="5"/>
        <v>OK</v>
      </c>
    </row>
    <row r="16" spans="2:24" ht="21.95">
      <c r="B16" s="19">
        <f t="shared" si="0"/>
        <v>14</v>
      </c>
      <c r="C16" s="135"/>
      <c r="D16" s="136"/>
      <c r="E16" s="136"/>
      <c r="F16" s="137"/>
      <c r="G16" s="17" t="str">
        <f t="shared" si="1"/>
        <v>-</v>
      </c>
      <c r="H16" s="143"/>
      <c r="I16" s="136"/>
      <c r="J16" s="136"/>
      <c r="K16" s="136"/>
      <c r="L16" s="144"/>
      <c r="M16" s="131" t="str">
        <f>IFERROR(
 VLOOKUP($J16&amp;"_"&amp;$K16&amp;"_"&amp;$L16, リスト!$R$3:$S$330, 2, 0),
 ""
)</f>
        <v/>
      </c>
      <c r="N16" s="149"/>
      <c r="O16" s="150"/>
      <c r="S16" s="124" t="str">
        <f t="shared" si="2"/>
        <v>OK</v>
      </c>
      <c r="T16" s="124" t="str">
        <f>IF(
  OR(
    $D16="",
    AND($D16&lt;&gt;"",$C16&lt;&gt;"",$E16&lt;&gt;"",$F16&lt;&gt;"",$H16&lt;&gt;"",$I16&lt;&gt;"",$J16&lt;&gt;"",IF(OR($C16=リスト!$A$4,$C16=リスト!$A$6),$O16&lt;&gt;"",TRUE))
  ),
  "OK","NG"
)</f>
        <v>OK</v>
      </c>
      <c r="U16" s="124" t="str">
        <f t="shared" ca="1" si="3"/>
        <v>OK</v>
      </c>
      <c r="V16" s="124" t="str">
        <f t="shared" ca="1" si="4"/>
        <v>OK</v>
      </c>
      <c r="W16" s="124" t="str">
        <f ca="1">IF(
 AND(
  $L16&lt;&gt;"",
  IF(
    COUNTIF(リスト!$F$3:$F$41, $J16)&gt;0,
    IFERROR(
      COUNTIF(
        OFFSET(
          リスト!$L$3,
          MATCH($K16, リスト!$J:$J, 0)-3,
          0,
          COUNTIF(リスト!$J:$J, $K16)
        ),
        $L16
      ),
      0
    )=0,
    IFERROR(
      COUNTIF(
        OFFSET(
          リスト!$L$3,
          MATCH($J16, リスト!$I:$I, 0)-3,
          0,
          COUNTIF(リスト!$I:$I, $J16)
        ),
        $L16
      ),
      0
    )=0
  )
 ),"NG","OK"
)</f>
        <v>OK</v>
      </c>
      <c r="X16" s="124" t="str">
        <f t="shared" ca="1" si="5"/>
        <v>OK</v>
      </c>
    </row>
    <row r="17" spans="2:24" ht="21.95">
      <c r="B17" s="19">
        <f t="shared" si="0"/>
        <v>15</v>
      </c>
      <c r="C17" s="135"/>
      <c r="D17" s="136"/>
      <c r="E17" s="136"/>
      <c r="F17" s="137"/>
      <c r="G17" s="17" t="str">
        <f t="shared" si="1"/>
        <v>-</v>
      </c>
      <c r="H17" s="143"/>
      <c r="I17" s="136"/>
      <c r="J17" s="136"/>
      <c r="K17" s="136"/>
      <c r="L17" s="144"/>
      <c r="M17" s="131" t="str">
        <f>IFERROR(
 VLOOKUP($J17&amp;"_"&amp;$K17&amp;"_"&amp;$L17, リスト!$R$3:$S$330, 2, 0),
 ""
)</f>
        <v/>
      </c>
      <c r="N17" s="149"/>
      <c r="O17" s="150"/>
      <c r="S17" s="124" t="str">
        <f t="shared" si="2"/>
        <v>OK</v>
      </c>
      <c r="T17" s="124" t="str">
        <f>IF(
  OR(
    $D17="",
    AND($D17&lt;&gt;"",$C17&lt;&gt;"",$E17&lt;&gt;"",$F17&lt;&gt;"",$H17&lt;&gt;"",$I17&lt;&gt;"",$J17&lt;&gt;"",IF(OR($C17=リスト!$A$4,$C17=リスト!$A$6),$O17&lt;&gt;"",TRUE))
  ),
  "OK","NG"
)</f>
        <v>OK</v>
      </c>
      <c r="U17" s="124" t="str">
        <f t="shared" ca="1" si="3"/>
        <v>OK</v>
      </c>
      <c r="V17" s="124" t="str">
        <f t="shared" ca="1" si="4"/>
        <v>OK</v>
      </c>
      <c r="W17" s="124" t="str">
        <f ca="1">IF(
 AND(
  $L17&lt;&gt;"",
  IF(
    COUNTIF(リスト!$F$3:$F$41, $J17)&gt;0,
    IFERROR(
      COUNTIF(
        OFFSET(
          リスト!$L$3,
          MATCH($K17, リスト!$J:$J, 0)-3,
          0,
          COUNTIF(リスト!$J:$J, $K17)
        ),
        $L17
      ),
      0
    )=0,
    IFERROR(
      COUNTIF(
        OFFSET(
          リスト!$L$3,
          MATCH($J17, リスト!$I:$I, 0)-3,
          0,
          COUNTIF(リスト!$I:$I, $J17)
        ),
        $L17
      ),
      0
    )=0
  )
 ),"NG","OK"
)</f>
        <v>OK</v>
      </c>
      <c r="X17" s="124" t="str">
        <f t="shared" ca="1" si="5"/>
        <v>OK</v>
      </c>
    </row>
    <row r="18" spans="2:24" ht="21.95">
      <c r="B18" s="19">
        <f t="shared" si="0"/>
        <v>16</v>
      </c>
      <c r="C18" s="135"/>
      <c r="D18" s="136"/>
      <c r="E18" s="136"/>
      <c r="F18" s="137"/>
      <c r="G18" s="17" t="str">
        <f t="shared" si="1"/>
        <v>-</v>
      </c>
      <c r="H18" s="143"/>
      <c r="I18" s="136"/>
      <c r="J18" s="136"/>
      <c r="K18" s="136"/>
      <c r="L18" s="144"/>
      <c r="M18" s="131" t="str">
        <f>IFERROR(
 VLOOKUP($J18&amp;"_"&amp;$K18&amp;"_"&amp;$L18, リスト!$R$3:$S$330, 2, 0),
 ""
)</f>
        <v/>
      </c>
      <c r="N18" s="149"/>
      <c r="O18" s="150"/>
      <c r="S18" s="124" t="str">
        <f t="shared" si="2"/>
        <v>OK</v>
      </c>
      <c r="T18" s="124" t="str">
        <f>IF(
  OR(
    $D18="",
    AND($D18&lt;&gt;"",$C18&lt;&gt;"",$E18&lt;&gt;"",$F18&lt;&gt;"",$H18&lt;&gt;"",$I18&lt;&gt;"",$J18&lt;&gt;"",IF(OR($C18=リスト!$A$4,$C18=リスト!$A$6),$O18&lt;&gt;"",TRUE))
  ),
  "OK","NG"
)</f>
        <v>OK</v>
      </c>
      <c r="U18" s="124" t="str">
        <f t="shared" ca="1" si="3"/>
        <v>OK</v>
      </c>
      <c r="V18" s="124" t="str">
        <f t="shared" ca="1" si="4"/>
        <v>OK</v>
      </c>
      <c r="W18" s="124" t="str">
        <f ca="1">IF(
 AND(
  $L18&lt;&gt;"",
  IF(
    COUNTIF(リスト!$F$3:$F$41, $J18)&gt;0,
    IFERROR(
      COUNTIF(
        OFFSET(
          リスト!$L$3,
          MATCH($K18, リスト!$J:$J, 0)-3,
          0,
          COUNTIF(リスト!$J:$J, $K18)
        ),
        $L18
      ),
      0
    )=0,
    IFERROR(
      COUNTIF(
        OFFSET(
          リスト!$L$3,
          MATCH($J18, リスト!$I:$I, 0)-3,
          0,
          COUNTIF(リスト!$I:$I, $J18)
        ),
        $L18
      ),
      0
    )=0
  )
 ),"NG","OK"
)</f>
        <v>OK</v>
      </c>
      <c r="X18" s="124" t="str">
        <f t="shared" ca="1" si="5"/>
        <v>OK</v>
      </c>
    </row>
    <row r="19" spans="2:24" ht="21.95">
      <c r="B19" s="19">
        <f t="shared" si="0"/>
        <v>17</v>
      </c>
      <c r="C19" s="135"/>
      <c r="D19" s="136"/>
      <c r="E19" s="136"/>
      <c r="F19" s="137"/>
      <c r="G19" s="17" t="str">
        <f t="shared" si="1"/>
        <v>-</v>
      </c>
      <c r="H19" s="143"/>
      <c r="I19" s="136"/>
      <c r="J19" s="136"/>
      <c r="K19" s="136"/>
      <c r="L19" s="144"/>
      <c r="M19" s="131" t="str">
        <f>IFERROR(
 VLOOKUP($J19&amp;"_"&amp;$K19&amp;"_"&amp;$L19, リスト!$R$3:$S$330, 2, 0),
 ""
)</f>
        <v/>
      </c>
      <c r="N19" s="149"/>
      <c r="O19" s="150"/>
      <c r="S19" s="124" t="str">
        <f t="shared" si="2"/>
        <v>OK</v>
      </c>
      <c r="T19" s="124" t="str">
        <f>IF(
  OR(
    $D19="",
    AND($D19&lt;&gt;"",$C19&lt;&gt;"",$E19&lt;&gt;"",$F19&lt;&gt;"",$H19&lt;&gt;"",$I19&lt;&gt;"",$J19&lt;&gt;"",IF(OR($C19=リスト!$A$4,$C19=リスト!$A$6),$O19&lt;&gt;"",TRUE))
  ),
  "OK","NG"
)</f>
        <v>OK</v>
      </c>
      <c r="U19" s="124" t="str">
        <f t="shared" ca="1" si="3"/>
        <v>OK</v>
      </c>
      <c r="V19" s="124" t="str">
        <f t="shared" ca="1" si="4"/>
        <v>OK</v>
      </c>
      <c r="W19" s="124" t="str">
        <f ca="1">IF(
 AND(
  $L19&lt;&gt;"",
  IF(
    COUNTIF(リスト!$F$3:$F$41, $J19)&gt;0,
    IFERROR(
      COUNTIF(
        OFFSET(
          リスト!$L$3,
          MATCH($K19, リスト!$J:$J, 0)-3,
          0,
          COUNTIF(リスト!$J:$J, $K19)
        ),
        $L19
      ),
      0
    )=0,
    IFERROR(
      COUNTIF(
        OFFSET(
          リスト!$L$3,
          MATCH($J19, リスト!$I:$I, 0)-3,
          0,
          COUNTIF(リスト!$I:$I, $J19)
        ),
        $L19
      ),
      0
    )=0
  )
 ),"NG","OK"
)</f>
        <v>OK</v>
      </c>
      <c r="X19" s="124" t="str">
        <f t="shared" ca="1" si="5"/>
        <v>OK</v>
      </c>
    </row>
    <row r="20" spans="2:24" ht="21.95">
      <c r="B20" s="19">
        <f t="shared" si="0"/>
        <v>18</v>
      </c>
      <c r="C20" s="135"/>
      <c r="D20" s="136"/>
      <c r="E20" s="136"/>
      <c r="F20" s="137"/>
      <c r="G20" s="17" t="str">
        <f t="shared" si="1"/>
        <v>-</v>
      </c>
      <c r="H20" s="143"/>
      <c r="I20" s="136"/>
      <c r="J20" s="136"/>
      <c r="K20" s="136"/>
      <c r="L20" s="144"/>
      <c r="M20" s="131" t="str">
        <f>IFERROR(
 VLOOKUP($J20&amp;"_"&amp;$K20&amp;"_"&amp;$L20, リスト!$R$3:$S$330, 2, 0),
 ""
)</f>
        <v/>
      </c>
      <c r="N20" s="149"/>
      <c r="O20" s="150"/>
      <c r="S20" s="124" t="str">
        <f t="shared" si="2"/>
        <v>OK</v>
      </c>
      <c r="T20" s="124" t="str">
        <f>IF(
  OR(
    $D20="",
    AND($D20&lt;&gt;"",$C20&lt;&gt;"",$E20&lt;&gt;"",$F20&lt;&gt;"",$H20&lt;&gt;"",$I20&lt;&gt;"",$J20&lt;&gt;"",IF(OR($C20=リスト!$A$4,$C20=リスト!$A$6),$O20&lt;&gt;"",TRUE))
  ),
  "OK","NG"
)</f>
        <v>OK</v>
      </c>
      <c r="U20" s="124" t="str">
        <f t="shared" ca="1" si="3"/>
        <v>OK</v>
      </c>
      <c r="V20" s="124" t="str">
        <f t="shared" ca="1" si="4"/>
        <v>OK</v>
      </c>
      <c r="W20" s="124" t="str">
        <f ca="1">IF(
 AND(
  $L20&lt;&gt;"",
  IF(
    COUNTIF(リスト!$F$3:$F$41, $J20)&gt;0,
    IFERROR(
      COUNTIF(
        OFFSET(
          リスト!$L$3,
          MATCH($K20, リスト!$J:$J, 0)-3,
          0,
          COUNTIF(リスト!$J:$J, $K20)
        ),
        $L20
      ),
      0
    )=0,
    IFERROR(
      COUNTIF(
        OFFSET(
          リスト!$L$3,
          MATCH($J20, リスト!$I:$I, 0)-3,
          0,
          COUNTIF(リスト!$I:$I, $J20)
        ),
        $L20
      ),
      0
    )=0
  )
 ),"NG","OK"
)</f>
        <v>OK</v>
      </c>
      <c r="X20" s="124" t="str">
        <f t="shared" ca="1" si="5"/>
        <v>OK</v>
      </c>
    </row>
    <row r="21" spans="2:24" ht="21.95">
      <c r="B21" s="19">
        <f t="shared" si="0"/>
        <v>19</v>
      </c>
      <c r="C21" s="135"/>
      <c r="D21" s="136"/>
      <c r="E21" s="136"/>
      <c r="F21" s="137"/>
      <c r="G21" s="17" t="str">
        <f t="shared" si="1"/>
        <v>-</v>
      </c>
      <c r="H21" s="143"/>
      <c r="I21" s="136"/>
      <c r="J21" s="136"/>
      <c r="K21" s="136"/>
      <c r="L21" s="144"/>
      <c r="M21" s="131" t="str">
        <f>IFERROR(
 VLOOKUP($J21&amp;"_"&amp;$K21&amp;"_"&amp;$L21, リスト!$R$3:$S$330, 2, 0),
 ""
)</f>
        <v/>
      </c>
      <c r="N21" s="149"/>
      <c r="O21" s="150"/>
      <c r="S21" s="124" t="str">
        <f t="shared" si="2"/>
        <v>OK</v>
      </c>
      <c r="T21" s="124" t="str">
        <f>IF(
  OR(
    $D21="",
    AND($D21&lt;&gt;"",$C21&lt;&gt;"",$E21&lt;&gt;"",$F21&lt;&gt;"",$H21&lt;&gt;"",$I21&lt;&gt;"",$J21&lt;&gt;"",IF(OR($C21=リスト!$A$4,$C21=リスト!$A$6),$O21&lt;&gt;"",TRUE))
  ),
  "OK","NG"
)</f>
        <v>OK</v>
      </c>
      <c r="U21" s="124" t="str">
        <f t="shared" ca="1" si="3"/>
        <v>OK</v>
      </c>
      <c r="V21" s="124" t="str">
        <f t="shared" ca="1" si="4"/>
        <v>OK</v>
      </c>
      <c r="W21" s="124" t="str">
        <f ca="1">IF(
 AND(
  $L21&lt;&gt;"",
  IF(
    COUNTIF(リスト!$F$3:$F$41, $J21)&gt;0,
    IFERROR(
      COUNTIF(
        OFFSET(
          リスト!$L$3,
          MATCH($K21, リスト!$J:$J, 0)-3,
          0,
          COUNTIF(リスト!$J:$J, $K21)
        ),
        $L21
      ),
      0
    )=0,
    IFERROR(
      COUNTIF(
        OFFSET(
          リスト!$L$3,
          MATCH($J21, リスト!$I:$I, 0)-3,
          0,
          COUNTIF(リスト!$I:$I, $J21)
        ),
        $L21
      ),
      0
    )=0
  )
 ),"NG","OK"
)</f>
        <v>OK</v>
      </c>
      <c r="X21" s="124" t="str">
        <f t="shared" ca="1" si="5"/>
        <v>OK</v>
      </c>
    </row>
    <row r="22" spans="2:24" ht="22.5" thickBot="1">
      <c r="B22" s="19">
        <f t="shared" si="0"/>
        <v>20</v>
      </c>
      <c r="C22" s="138"/>
      <c r="D22" s="139"/>
      <c r="E22" s="139"/>
      <c r="F22" s="140"/>
      <c r="G22" s="17" t="str">
        <f t="shared" si="1"/>
        <v>-</v>
      </c>
      <c r="H22" s="145"/>
      <c r="I22" s="139"/>
      <c r="J22" s="139"/>
      <c r="K22" s="139"/>
      <c r="L22" s="146"/>
      <c r="M22" s="131" t="str">
        <f>IFERROR(
 VLOOKUP($J22&amp;"_"&amp;$K22&amp;"_"&amp;$L22, リスト!$R$3:$S$330, 2, 0),
 ""
)</f>
        <v/>
      </c>
      <c r="N22" s="151"/>
      <c r="O22" s="152"/>
      <c r="S22" s="124" t="str">
        <f t="shared" si="2"/>
        <v>OK</v>
      </c>
      <c r="T22" s="124" t="str">
        <f>IF(
  OR(
    $D22="",
    AND($D22&lt;&gt;"",$C22&lt;&gt;"",$E22&lt;&gt;"",$F22&lt;&gt;"",$H22&lt;&gt;"",$I22&lt;&gt;"",$J22&lt;&gt;"",IF(OR($C22=リスト!$A$4,$C22=リスト!$A$6),$O22&lt;&gt;"",TRUE))
  ),
  "OK","NG"
)</f>
        <v>OK</v>
      </c>
      <c r="U22" s="124" t="str">
        <f t="shared" ca="1" si="3"/>
        <v>OK</v>
      </c>
      <c r="V22" s="124" t="str">
        <f t="shared" ca="1" si="4"/>
        <v>OK</v>
      </c>
      <c r="W22" s="124" t="str">
        <f ca="1">IF(
 AND(
  $L22&lt;&gt;"",
  IF(
    COUNTIF(リスト!$F$3:$F$41, $J22)&gt;0,
    IFERROR(
      COUNTIF(
        OFFSET(
          リスト!$L$3,
          MATCH($K22, リスト!$J:$J, 0)-3,
          0,
          COUNTIF(リスト!$J:$J, $K22)
        ),
        $L22
      ),
      0
    )=0,
    IFERROR(
      COUNTIF(
        OFFSET(
          リスト!$L$3,
          MATCH($J22, リスト!$I:$I, 0)-3,
          0,
          COUNTIF(リスト!$I:$I, $J22)
        ),
        $L22
      ),
      0
    )=0
  )
 ),"NG","OK"
)</f>
        <v>OK</v>
      </c>
      <c r="X22" s="124" t="str">
        <f t="shared" ca="1" si="5"/>
        <v>OK</v>
      </c>
    </row>
    <row r="23" spans="2:24" ht="15.6" thickTop="1"/>
    <row r="24" spans="2:24">
      <c r="B24" s="4" t="s">
        <v>127</v>
      </c>
      <c r="C24" s="5" t="s">
        <v>128</v>
      </c>
    </row>
    <row r="25" spans="2:24">
      <c r="B25" s="4" t="s">
        <v>129</v>
      </c>
      <c r="C25" s="5" t="s">
        <v>130</v>
      </c>
    </row>
    <row r="26" spans="2:24">
      <c r="B26" s="4" t="s">
        <v>131</v>
      </c>
      <c r="C26" s="5" t="s">
        <v>132</v>
      </c>
    </row>
    <row r="27" spans="2:24">
      <c r="B27" s="4" t="s">
        <v>133</v>
      </c>
      <c r="C27" s="5" t="s">
        <v>134</v>
      </c>
    </row>
    <row r="28" spans="2:24">
      <c r="B28" s="4" t="s">
        <v>135</v>
      </c>
      <c r="C28" s="5" t="s">
        <v>136</v>
      </c>
    </row>
  </sheetData>
  <sheetProtection algorithmName="SHA-512" hashValue="7aRLMIB0blebyYrSFh/pKJdXONMV1jcASU/d8ul8rLjxPp71nZcU+m+TUSswxaf82hIdk4t2lRQI5hkGv4bCdw==" saltValue="LTBNPZq5bPhMlXeljs/tdA==" spinCount="100000" sheet="1" objects="1" scenarios="1" selectLockedCells="1"/>
  <phoneticPr fontId="2"/>
  <dataValidations count="3">
    <dataValidation type="list" allowBlank="1" showInputMessage="1" showErrorMessage="1" sqref="O3:O22" xr:uid="{601FB1A3-488E-4290-96E3-726D67FF7681}">
      <formula1>INDIRECT("類型・種類_"&amp;$C3)</formula1>
    </dataValidation>
    <dataValidation type="list" allowBlank="1" showInputMessage="1" showErrorMessage="1" sqref="J3:J22" xr:uid="{B34D6153-B7F2-4C83-9027-63DCB2C9AAAD}">
      <formula1>INDIRECT($J$2&amp;"_"&amp;$C3)</formula1>
    </dataValidation>
    <dataValidation type="list" allowBlank="1" showInputMessage="1" showErrorMessage="1" sqref="K3:K22" xr:uid="{49EBBADC-08DB-4CE8-82CB-2744554D8F71}">
      <formula1>INDIRECT($K$2&amp;"_"&amp;$J3)</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 id="{FB15AD46-576B-417A-B851-B79F3E0C4338}">
            <xm:f>COUNTIF(リスト!$F$3:$F$41, $J3)=0</xm:f>
            <x14:dxf>
              <fill>
                <patternFill>
                  <bgColor theme="0" tint="-0.14996795556505021"/>
                </patternFill>
              </fill>
            </x14:dxf>
          </x14:cfRule>
          <xm:sqref>K3:K22</xm:sqref>
        </x14:conditionalFormatting>
        <x14:conditionalFormatting xmlns:xm="http://schemas.microsoft.com/office/excel/2006/main">
          <x14:cfRule type="expression" priority="1" id="{C9BCC36A-67B4-4176-90FE-51D3C1708685}">
            <xm:f>COUNTIF(リスト!$K:$K,$J3&amp;"_"&amp;$K3)=0</xm:f>
            <x14:dxf>
              <fill>
                <patternFill>
                  <bgColor theme="0" tint="-0.14996795556505021"/>
                </patternFill>
              </fill>
            </x14:dxf>
          </x14:cfRule>
          <xm:sqref>L3:L22</xm:sqref>
        </x14:conditionalFormatting>
        <x14:conditionalFormatting xmlns:xm="http://schemas.microsoft.com/office/excel/2006/main">
          <x14:cfRule type="expression" priority="3" id="{14211E4F-CA79-4C60-BD99-282CED9F944C}">
            <xm:f>AND($C3&lt;&gt;リスト!$A$4,$C3&lt;&gt;リスト!$A$6)</xm:f>
            <x14:dxf>
              <fill>
                <patternFill>
                  <bgColor theme="0" tint="-0.14996795556505021"/>
                </patternFill>
              </fill>
            </x14:dxf>
          </x14:cfRule>
          <xm:sqref>O3:O22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1DD67222-47E5-4A28-B749-9CE0D4AFA555}">
          <x14:formula1>
            <xm:f>リスト!$A$3:$A$6</xm:f>
          </x14:formula1>
          <xm:sqref>C3:C22</xm:sqref>
        </x14:dataValidation>
        <x14:dataValidation type="list" allowBlank="1" showInputMessage="1" showErrorMessage="1" xr:uid="{09E7AA6B-458C-468F-9529-FD18AE397ABC}">
          <x14:formula1>
            <xm:f>IF(COUNTIF(リスト!$F$3:$F$41, $J3)&gt;0, OFFSET(リスト!$L$3, MATCH($K3,リスト!$J:$J,0)-3, 0, COUNTIF(リスト!$J:$J,$K3)), OFFSET(リスト!$L$3, MATCH($J3,リスト!$I:$I,0)-3, 0, COUNTIF(リスト!$I:$I,$J3)))</xm:f>
          </x14:formula1>
          <xm:sqref>L3:L22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337C8-EFEB-45B7-A6F7-D9205AF19551}">
  <dimension ref="B2:P30"/>
  <sheetViews>
    <sheetView zoomScaleNormal="100" workbookViewId="0">
      <selection activeCell="C4" sqref="C4"/>
    </sheetView>
  </sheetViews>
  <sheetFormatPr defaultColWidth="9.109375" defaultRowHeight="15"/>
  <cols>
    <col min="1" max="1" width="2.44140625" style="2" customWidth="1"/>
    <col min="2" max="2" width="6.88671875" style="2" customWidth="1"/>
    <col min="3" max="3" width="47.77734375" style="2" customWidth="1"/>
    <col min="4" max="4" width="10.33203125" style="2" customWidth="1"/>
    <col min="5" max="5" width="19" style="2" customWidth="1"/>
    <col min="6" max="6" width="50.109375" style="2" customWidth="1"/>
    <col min="7" max="7" width="19" style="2" customWidth="1"/>
    <col min="8" max="9" width="33" style="2" customWidth="1"/>
    <col min="10" max="10" width="3.109375" style="2" customWidth="1"/>
    <col min="11" max="11" width="11.44140625" style="2" customWidth="1"/>
    <col min="12" max="12" width="3.109375" style="2" customWidth="1"/>
    <col min="13" max="16384" width="9.109375" style="2"/>
  </cols>
  <sheetData>
    <row r="2" spans="2:16" ht="24">
      <c r="B2" s="11" t="s">
        <v>106</v>
      </c>
      <c r="C2" s="13" t="s">
        <v>137</v>
      </c>
      <c r="D2" s="128"/>
      <c r="E2" s="14"/>
      <c r="F2" s="7" t="s">
        <v>138</v>
      </c>
      <c r="G2" s="13" t="s">
        <v>139</v>
      </c>
      <c r="H2" s="13"/>
      <c r="I2" s="15"/>
      <c r="K2" s="3" t="s">
        <v>120</v>
      </c>
      <c r="M2" s="124" t="s">
        <v>140</v>
      </c>
      <c r="N2" s="124" t="s">
        <v>141</v>
      </c>
      <c r="O2" s="124" t="s">
        <v>121</v>
      </c>
      <c r="P2" s="124" t="s">
        <v>122</v>
      </c>
    </row>
    <row r="3" spans="2:16" ht="24.6" thickBot="1">
      <c r="B3" s="12"/>
      <c r="C3" s="7" t="s">
        <v>142</v>
      </c>
      <c r="D3" s="7" t="s">
        <v>143</v>
      </c>
      <c r="E3" s="7" t="s">
        <v>144</v>
      </c>
      <c r="F3" s="43"/>
      <c r="G3" s="43" t="s">
        <v>145</v>
      </c>
      <c r="H3" s="8" t="s">
        <v>146</v>
      </c>
      <c r="I3" s="8" t="s">
        <v>147</v>
      </c>
      <c r="K3" s="123" t="str">
        <f>IF(COUNTIF(M4:P23,"NG")&gt;0,"NG","OK")</f>
        <v>OK</v>
      </c>
      <c r="M3" s="124"/>
      <c r="N3" s="124"/>
      <c r="O3" s="124"/>
      <c r="P3" s="124"/>
    </row>
    <row r="4" spans="2:16" ht="22.5" thickTop="1">
      <c r="B4" s="19">
        <f>ROW()-ROW($B$3)</f>
        <v>1</v>
      </c>
      <c r="C4" s="153"/>
      <c r="D4" s="148"/>
      <c r="E4" s="40" t="str">
        <f>IF($C4="","-",VLOOKUP($C4,取得財産等管理台帳!$D$3:$H$22,5,0))</f>
        <v>-</v>
      </c>
      <c r="F4" s="156"/>
      <c r="G4" s="157"/>
      <c r="H4" s="158"/>
      <c r="I4" s="18" t="str">
        <f>IF(OR($C4="",$D4=""),"-",VLOOKUP($C4,取得財産等管理台帳!$D$3:$H$22,3,0)*$D4)</f>
        <v>-</v>
      </c>
      <c r="M4" s="124" t="str">
        <f>IF(OR($C4="",COUNTIF(取得財産等管理台帳!$D:$D, $C4) &gt; 0), "OK", "NG")</f>
        <v>OK</v>
      </c>
      <c r="N4" s="124" t="str">
        <f>IF(OR($C4="",$D4=""),"OK",
  IF($D4&lt;=VLOOKUP($C4,取得財産等管理台帳!$D$3:$E$22,2,0), "OK",
 "NG")
)</f>
        <v>OK</v>
      </c>
      <c r="O4" s="124" t="str">
        <f>IF(
  AND(
    OR($D4="", IF(ISNUMBER($D4), AND($D4&gt;0, $D4=INT($D4)), FALSE)),
    OR($H4="", IF(ISNUMBER($H4), AND($H4&gt;0, $H4=INT($H4)), FALSE))
  ),
  "OK","NG"
)</f>
        <v>OK</v>
      </c>
      <c r="P4" s="124" t="str">
        <f>IF(
  OR(
    $C4="",
    AND($C4&lt;&gt;"",$D4&lt;&gt;"",$F4&lt;&gt;"",IF(OR($F4=リスト!$X$3,$F4=リスト!$X$5),AND($G4&lt;&gt;"",$H4&lt;&gt;""),TRUE))
  ),
  "OK","NG"
)</f>
        <v>OK</v>
      </c>
    </row>
    <row r="5" spans="2:16" ht="21.95">
      <c r="B5" s="19">
        <f t="shared" ref="B5:B23" si="0">ROW()-ROW($B$3)</f>
        <v>2</v>
      </c>
      <c r="C5" s="154"/>
      <c r="D5" s="150"/>
      <c r="E5" s="40" t="str">
        <f>IF($C5="","-",VLOOKUP($C5,取得財産等管理台帳!$D$3:$H$22,5,0))</f>
        <v>-</v>
      </c>
      <c r="F5" s="159"/>
      <c r="G5" s="160"/>
      <c r="H5" s="161"/>
      <c r="I5" s="18" t="str">
        <f>IF(OR($C5="",$D5=""),"-",VLOOKUP($C5,取得財産等管理台帳!$D$3:$H$22,3,0)*$D5)</f>
        <v>-</v>
      </c>
      <c r="M5" s="124" t="str">
        <f>IF(OR($C5="",COUNTIF(取得財産等管理台帳!$D:$D, $C5) &gt; 0), "OK", "NG")</f>
        <v>OK</v>
      </c>
      <c r="N5" s="124" t="str">
        <f>IF(OR($C5="",$D5=""),"OK",
  IF($D5&lt;=VLOOKUP($C5,取得財産等管理台帳!$D$3:$E$22,2,0), "OK",
 "NG")
)</f>
        <v>OK</v>
      </c>
      <c r="O5" s="124" t="str">
        <f t="shared" ref="O5:O23" si="1">IF(
  AND(
    OR($D5="", IF(ISNUMBER($D5), AND($D5&gt;0, $D5=INT($D5)), FALSE)),
    OR($H5="", IF(ISNUMBER($H5), AND($H5&gt;0, $H5=INT($H5)), FALSE))
  ),
  "OK","NG"
)</f>
        <v>OK</v>
      </c>
      <c r="P5" s="124" t="str">
        <f>IF(
  OR(
    $C5="",
    AND($C5&lt;&gt;"",$D5&lt;&gt;"",$F5&lt;&gt;"",IF(OR($F5=リスト!$X$3,$F5=リスト!$X$5),AND($G5&lt;&gt;"",$H5&lt;&gt;""),TRUE))
  ),
  "OK","NG"
)</f>
        <v>OK</v>
      </c>
    </row>
    <row r="6" spans="2:16" ht="21.95">
      <c r="B6" s="19">
        <f t="shared" si="0"/>
        <v>3</v>
      </c>
      <c r="C6" s="154"/>
      <c r="D6" s="150"/>
      <c r="E6" s="40" t="str">
        <f>IF($C6="","-",VLOOKUP($C6,取得財産等管理台帳!$D$3:$H$22,5,0))</f>
        <v>-</v>
      </c>
      <c r="F6" s="159"/>
      <c r="G6" s="160"/>
      <c r="H6" s="161"/>
      <c r="I6" s="18" t="str">
        <f>IF(OR($C6="",$D6=""),"-",VLOOKUP($C6,取得財産等管理台帳!$D$3:$H$22,3,0)*$D6)</f>
        <v>-</v>
      </c>
      <c r="M6" s="124" t="str">
        <f>IF(OR($C6="",COUNTIF(取得財産等管理台帳!$D:$D, $C6) &gt; 0), "OK", "NG")</f>
        <v>OK</v>
      </c>
      <c r="N6" s="124" t="str">
        <f>IF(OR($C6="",$D6=""),"OK",
  IF($D6&lt;=VLOOKUP($C6,取得財産等管理台帳!$D$3:$E$22,2,0), "OK",
 "NG")
)</f>
        <v>OK</v>
      </c>
      <c r="O6" s="124" t="str">
        <f t="shared" si="1"/>
        <v>OK</v>
      </c>
      <c r="P6" s="124" t="str">
        <f>IF(
  OR(
    $C6="",
    AND($C6&lt;&gt;"",$D6&lt;&gt;"",$F6&lt;&gt;"",IF(OR($F6=リスト!$X$3,$F6=リスト!$X$5),AND($G6&lt;&gt;"",$H6&lt;&gt;""),TRUE))
  ),
  "OK","NG"
)</f>
        <v>OK</v>
      </c>
    </row>
    <row r="7" spans="2:16" ht="21.95">
      <c r="B7" s="19">
        <f t="shared" si="0"/>
        <v>4</v>
      </c>
      <c r="C7" s="154"/>
      <c r="D7" s="150"/>
      <c r="E7" s="40" t="str">
        <f>IF($C7="","-",VLOOKUP($C7,取得財産等管理台帳!$D$3:$H$22,5,0))</f>
        <v>-</v>
      </c>
      <c r="F7" s="159"/>
      <c r="G7" s="160"/>
      <c r="H7" s="161"/>
      <c r="I7" s="18" t="str">
        <f>IF(OR($C7="",$D7=""),"-",VLOOKUP($C7,取得財産等管理台帳!$D$3:$H$22,3,0)*$D7)</f>
        <v>-</v>
      </c>
      <c r="M7" s="124" t="str">
        <f>IF(OR($C7="",COUNTIF(取得財産等管理台帳!$D:$D, $C7) &gt; 0), "OK", "NG")</f>
        <v>OK</v>
      </c>
      <c r="N7" s="124" t="str">
        <f>IF(OR($C7="",$D7=""),"OK",
  IF($D7&lt;=VLOOKUP($C7,取得財産等管理台帳!$D$3:$E$22,2,0), "OK",
 "NG")
)</f>
        <v>OK</v>
      </c>
      <c r="O7" s="124" t="str">
        <f t="shared" si="1"/>
        <v>OK</v>
      </c>
      <c r="P7" s="124" t="str">
        <f>IF(
  OR(
    $C7="",
    AND($C7&lt;&gt;"",$D7&lt;&gt;"",$F7&lt;&gt;"",IF(OR($F7=リスト!$X$3,$F7=リスト!$X$5),AND($G7&lt;&gt;"",$H7&lt;&gt;""),TRUE))
  ),
  "OK","NG"
)</f>
        <v>OK</v>
      </c>
    </row>
    <row r="8" spans="2:16" ht="21.95">
      <c r="B8" s="19">
        <f t="shared" si="0"/>
        <v>5</v>
      </c>
      <c r="C8" s="154"/>
      <c r="D8" s="150"/>
      <c r="E8" s="40" t="str">
        <f>IF($C8="","-",VLOOKUP($C8,取得財産等管理台帳!$D$3:$H$22,5,0))</f>
        <v>-</v>
      </c>
      <c r="F8" s="159"/>
      <c r="G8" s="160"/>
      <c r="H8" s="161"/>
      <c r="I8" s="18" t="str">
        <f>IF(OR($C8="",$D8=""),"-",VLOOKUP($C8,取得財産等管理台帳!$D$3:$H$22,3,0)*$D8)</f>
        <v>-</v>
      </c>
      <c r="M8" s="124" t="str">
        <f>IF(OR($C8="",COUNTIF(取得財産等管理台帳!$D:$D, $C8) &gt; 0), "OK", "NG")</f>
        <v>OK</v>
      </c>
      <c r="N8" s="124" t="str">
        <f>IF(OR($C8="",$D8=""),"OK",
  IF($D8&lt;=VLOOKUP($C8,取得財産等管理台帳!$D$3:$E$22,2,0), "OK",
 "NG")
)</f>
        <v>OK</v>
      </c>
      <c r="O8" s="124" t="str">
        <f t="shared" si="1"/>
        <v>OK</v>
      </c>
      <c r="P8" s="124" t="str">
        <f>IF(
  OR(
    $C8="",
    AND($C8&lt;&gt;"",$D8&lt;&gt;"",$F8&lt;&gt;"",IF(OR($F8=リスト!$X$3,$F8=リスト!$X$5),AND($G8&lt;&gt;"",$H8&lt;&gt;""),TRUE))
  ),
  "OK","NG"
)</f>
        <v>OK</v>
      </c>
    </row>
    <row r="9" spans="2:16" ht="21.95">
      <c r="B9" s="19">
        <f t="shared" si="0"/>
        <v>6</v>
      </c>
      <c r="C9" s="154"/>
      <c r="D9" s="150"/>
      <c r="E9" s="40" t="str">
        <f>IF($C9="","-",VLOOKUP($C9,取得財産等管理台帳!$D$3:$H$22,5,0))</f>
        <v>-</v>
      </c>
      <c r="F9" s="159"/>
      <c r="G9" s="160"/>
      <c r="H9" s="161"/>
      <c r="I9" s="18" t="str">
        <f>IF(OR($C9="",$D9=""),"-",VLOOKUP($C9,取得財産等管理台帳!$D$3:$H$22,3,0)*$D9)</f>
        <v>-</v>
      </c>
      <c r="M9" s="124" t="str">
        <f>IF(OR($C9="",COUNTIF(取得財産等管理台帳!$D:$D, $C9) &gt; 0), "OK", "NG")</f>
        <v>OK</v>
      </c>
      <c r="N9" s="124" t="str">
        <f>IF(OR($C9="",$D9=""),"OK",
  IF($D9&lt;=VLOOKUP($C9,取得財産等管理台帳!$D$3:$E$22,2,0), "OK",
 "NG")
)</f>
        <v>OK</v>
      </c>
      <c r="O9" s="124" t="str">
        <f t="shared" si="1"/>
        <v>OK</v>
      </c>
      <c r="P9" s="124" t="str">
        <f>IF(
  OR(
    $C9="",
    AND($C9&lt;&gt;"",$D9&lt;&gt;"",$F9&lt;&gt;"",IF(OR($F9=リスト!$X$3,$F9=リスト!$X$5),AND($G9&lt;&gt;"",$H9&lt;&gt;""),TRUE))
  ),
  "OK","NG"
)</f>
        <v>OK</v>
      </c>
    </row>
    <row r="10" spans="2:16" ht="21.95">
      <c r="B10" s="19">
        <f t="shared" si="0"/>
        <v>7</v>
      </c>
      <c r="C10" s="154"/>
      <c r="D10" s="150"/>
      <c r="E10" s="40" t="str">
        <f>IF($C10="","-",VLOOKUP($C10,取得財産等管理台帳!$D$3:$H$22,5,0))</f>
        <v>-</v>
      </c>
      <c r="F10" s="159"/>
      <c r="G10" s="160"/>
      <c r="H10" s="161"/>
      <c r="I10" s="18" t="str">
        <f>IF(OR($C10="",$D10=""),"-",VLOOKUP($C10,取得財産等管理台帳!$D$3:$H$22,3,0)*$D10)</f>
        <v>-</v>
      </c>
      <c r="M10" s="124" t="str">
        <f>IF(OR($C10="",COUNTIF(取得財産等管理台帳!$D:$D, $C10) &gt; 0), "OK", "NG")</f>
        <v>OK</v>
      </c>
      <c r="N10" s="124" t="str">
        <f>IF(OR($C10="",$D10=""),"OK",
  IF($D10&lt;=VLOOKUP($C10,取得財産等管理台帳!$D$3:$E$22,2,0), "OK",
 "NG")
)</f>
        <v>OK</v>
      </c>
      <c r="O10" s="124" t="str">
        <f t="shared" si="1"/>
        <v>OK</v>
      </c>
      <c r="P10" s="124" t="str">
        <f>IF(
  OR(
    $C10="",
    AND($C10&lt;&gt;"",$D10&lt;&gt;"",$F10&lt;&gt;"",IF(OR($F10=リスト!$X$3,$F10=リスト!$X$5),AND($G10&lt;&gt;"",$H10&lt;&gt;""),TRUE))
  ),
  "OK","NG"
)</f>
        <v>OK</v>
      </c>
    </row>
    <row r="11" spans="2:16" ht="21.95">
      <c r="B11" s="19">
        <f t="shared" si="0"/>
        <v>8</v>
      </c>
      <c r="C11" s="154"/>
      <c r="D11" s="150"/>
      <c r="E11" s="40" t="str">
        <f>IF($C11="","-",VLOOKUP($C11,取得財産等管理台帳!$D$3:$H$22,5,0))</f>
        <v>-</v>
      </c>
      <c r="F11" s="159"/>
      <c r="G11" s="160"/>
      <c r="H11" s="161"/>
      <c r="I11" s="18" t="str">
        <f>IF(OR($C11="",$D11=""),"-",VLOOKUP($C11,取得財産等管理台帳!$D$3:$H$22,3,0)*$D11)</f>
        <v>-</v>
      </c>
      <c r="M11" s="124" t="str">
        <f>IF(OR($C11="",COUNTIF(取得財産等管理台帳!$D:$D, $C11) &gt; 0), "OK", "NG")</f>
        <v>OK</v>
      </c>
      <c r="N11" s="124" t="str">
        <f>IF(OR($C11="",$D11=""),"OK",
  IF($D11&lt;=VLOOKUP($C11,取得財産等管理台帳!$D$3:$E$22,2,0), "OK",
 "NG")
)</f>
        <v>OK</v>
      </c>
      <c r="O11" s="124" t="str">
        <f t="shared" si="1"/>
        <v>OK</v>
      </c>
      <c r="P11" s="124" t="str">
        <f>IF(
  OR(
    $C11="",
    AND($C11&lt;&gt;"",$D11&lt;&gt;"",$F11&lt;&gt;"",IF(OR($F11=リスト!$X$3,$F11=リスト!$X$5),AND($G11&lt;&gt;"",$H11&lt;&gt;""),TRUE))
  ),
  "OK","NG"
)</f>
        <v>OK</v>
      </c>
    </row>
    <row r="12" spans="2:16" ht="21.95">
      <c r="B12" s="19">
        <f t="shared" si="0"/>
        <v>9</v>
      </c>
      <c r="C12" s="154"/>
      <c r="D12" s="150"/>
      <c r="E12" s="40" t="str">
        <f>IF($C12="","-",VLOOKUP($C12,取得財産等管理台帳!$D$3:$H$22,5,0))</f>
        <v>-</v>
      </c>
      <c r="F12" s="159"/>
      <c r="G12" s="160"/>
      <c r="H12" s="161"/>
      <c r="I12" s="18" t="str">
        <f>IF(OR($C12="",$D12=""),"-",VLOOKUP($C12,取得財産等管理台帳!$D$3:$H$22,3,0)*$D12)</f>
        <v>-</v>
      </c>
      <c r="M12" s="124" t="str">
        <f>IF(OR($C12="",COUNTIF(取得財産等管理台帳!$D:$D, $C12) &gt; 0), "OK", "NG")</f>
        <v>OK</v>
      </c>
      <c r="N12" s="124" t="str">
        <f>IF(OR($C12="",$D12=""),"OK",
  IF($D12&lt;=VLOOKUP($C12,取得財産等管理台帳!$D$3:$E$22,2,0), "OK",
 "NG")
)</f>
        <v>OK</v>
      </c>
      <c r="O12" s="124" t="str">
        <f t="shared" si="1"/>
        <v>OK</v>
      </c>
      <c r="P12" s="124" t="str">
        <f>IF(
  OR(
    $C12="",
    AND($C12&lt;&gt;"",$D12&lt;&gt;"",$F12&lt;&gt;"",IF(OR($F12=リスト!$X$3,$F12=リスト!$X$5),AND($G12&lt;&gt;"",$H12&lt;&gt;""),TRUE))
  ),
  "OK","NG"
)</f>
        <v>OK</v>
      </c>
    </row>
    <row r="13" spans="2:16" ht="21.95">
      <c r="B13" s="19">
        <f t="shared" si="0"/>
        <v>10</v>
      </c>
      <c r="C13" s="154"/>
      <c r="D13" s="150"/>
      <c r="E13" s="40" t="str">
        <f>IF($C13="","-",VLOOKUP($C13,取得財産等管理台帳!$D$3:$H$22,5,0))</f>
        <v>-</v>
      </c>
      <c r="F13" s="159"/>
      <c r="G13" s="160"/>
      <c r="H13" s="161"/>
      <c r="I13" s="18" t="str">
        <f>IF(OR($C13="",$D13=""),"-",VLOOKUP($C13,取得財産等管理台帳!$D$3:$H$22,3,0)*$D13)</f>
        <v>-</v>
      </c>
      <c r="M13" s="124" t="str">
        <f>IF(OR($C13="",COUNTIF(取得財産等管理台帳!$D:$D, $C13) &gt; 0), "OK", "NG")</f>
        <v>OK</v>
      </c>
      <c r="N13" s="124" t="str">
        <f>IF(OR($C13="",$D13=""),"OK",
  IF($D13&lt;=VLOOKUP($C13,取得財産等管理台帳!$D$3:$E$22,2,0), "OK",
 "NG")
)</f>
        <v>OK</v>
      </c>
      <c r="O13" s="124" t="str">
        <f t="shared" si="1"/>
        <v>OK</v>
      </c>
      <c r="P13" s="124" t="str">
        <f>IF(
  OR(
    $C13="",
    AND($C13&lt;&gt;"",$D13&lt;&gt;"",$F13&lt;&gt;"",IF(OR($F13=リスト!$X$3,$F13=リスト!$X$5),AND($G13&lt;&gt;"",$H13&lt;&gt;""),TRUE))
  ),
  "OK","NG"
)</f>
        <v>OK</v>
      </c>
    </row>
    <row r="14" spans="2:16" ht="21.95">
      <c r="B14" s="19">
        <f t="shared" si="0"/>
        <v>11</v>
      </c>
      <c r="C14" s="154"/>
      <c r="D14" s="150"/>
      <c r="E14" s="40" t="str">
        <f>IF($C14="","-",VLOOKUP($C14,取得財産等管理台帳!$D$3:$H$22,5,0))</f>
        <v>-</v>
      </c>
      <c r="F14" s="159"/>
      <c r="G14" s="160"/>
      <c r="H14" s="161"/>
      <c r="I14" s="18" t="str">
        <f>IF(OR($C14="",$D14=""),"-",VLOOKUP($C14,取得財産等管理台帳!$D$3:$H$22,3,0)*$D14)</f>
        <v>-</v>
      </c>
      <c r="M14" s="124" t="str">
        <f>IF(OR($C14="",COUNTIF(取得財産等管理台帳!$D:$D, $C14) &gt; 0), "OK", "NG")</f>
        <v>OK</v>
      </c>
      <c r="N14" s="124" t="str">
        <f>IF(OR($C14="",$D14=""),"OK",
  IF($D14&lt;=VLOOKUP($C14,取得財産等管理台帳!$D$3:$E$22,2,0), "OK",
 "NG")
)</f>
        <v>OK</v>
      </c>
      <c r="O14" s="124" t="str">
        <f t="shared" si="1"/>
        <v>OK</v>
      </c>
      <c r="P14" s="124" t="str">
        <f>IF(
  OR(
    $C14="",
    AND($C14&lt;&gt;"",$D14&lt;&gt;"",$F14&lt;&gt;"",IF(OR($F14=リスト!$X$3,$F14=リスト!$X$5),AND($G14&lt;&gt;"",$H14&lt;&gt;""),TRUE))
  ),
  "OK","NG"
)</f>
        <v>OK</v>
      </c>
    </row>
    <row r="15" spans="2:16" ht="21.95">
      <c r="B15" s="19">
        <f t="shared" si="0"/>
        <v>12</v>
      </c>
      <c r="C15" s="154"/>
      <c r="D15" s="150"/>
      <c r="E15" s="40" t="str">
        <f>IF($C15="","-",VLOOKUP($C15,取得財産等管理台帳!$D$3:$H$22,5,0))</f>
        <v>-</v>
      </c>
      <c r="F15" s="159"/>
      <c r="G15" s="160"/>
      <c r="H15" s="161"/>
      <c r="I15" s="18" t="str">
        <f>IF(OR($C15="",$D15=""),"-",VLOOKUP($C15,取得財産等管理台帳!$D$3:$H$22,3,0)*$D15)</f>
        <v>-</v>
      </c>
      <c r="M15" s="124" t="str">
        <f>IF(OR($C15="",COUNTIF(取得財産等管理台帳!$D:$D, $C15) &gt; 0), "OK", "NG")</f>
        <v>OK</v>
      </c>
      <c r="N15" s="124" t="str">
        <f>IF(OR($C15="",$D15=""),"OK",
  IF($D15&lt;=VLOOKUP($C15,取得財産等管理台帳!$D$3:$E$22,2,0), "OK",
 "NG")
)</f>
        <v>OK</v>
      </c>
      <c r="O15" s="124" t="str">
        <f t="shared" si="1"/>
        <v>OK</v>
      </c>
      <c r="P15" s="124" t="str">
        <f>IF(
  OR(
    $C15="",
    AND($C15&lt;&gt;"",$D15&lt;&gt;"",$F15&lt;&gt;"",IF(OR($F15=リスト!$X$3,$F15=リスト!$X$5),AND($G15&lt;&gt;"",$H15&lt;&gt;""),TRUE))
  ),
  "OK","NG"
)</f>
        <v>OK</v>
      </c>
    </row>
    <row r="16" spans="2:16" ht="21.95">
      <c r="B16" s="19">
        <f t="shared" si="0"/>
        <v>13</v>
      </c>
      <c r="C16" s="154"/>
      <c r="D16" s="150"/>
      <c r="E16" s="40" t="str">
        <f>IF($C16="","-",VLOOKUP($C16,取得財産等管理台帳!$D$3:$H$22,5,0))</f>
        <v>-</v>
      </c>
      <c r="F16" s="159"/>
      <c r="G16" s="160"/>
      <c r="H16" s="161"/>
      <c r="I16" s="18" t="str">
        <f>IF(OR($C16="",$D16=""),"-",VLOOKUP($C16,取得財産等管理台帳!$D$3:$H$22,3,0)*$D16)</f>
        <v>-</v>
      </c>
      <c r="M16" s="124" t="str">
        <f>IF(OR($C16="",COUNTIF(取得財産等管理台帳!$D:$D, $C16) &gt; 0), "OK", "NG")</f>
        <v>OK</v>
      </c>
      <c r="N16" s="124" t="str">
        <f>IF(OR($C16="",$D16=""),"OK",
  IF($D16&lt;=VLOOKUP($C16,取得財産等管理台帳!$D$3:$E$22,2,0), "OK",
 "NG")
)</f>
        <v>OK</v>
      </c>
      <c r="O16" s="124" t="str">
        <f t="shared" si="1"/>
        <v>OK</v>
      </c>
      <c r="P16" s="124" t="str">
        <f>IF(
  OR(
    $C16="",
    AND($C16&lt;&gt;"",$D16&lt;&gt;"",$F16&lt;&gt;"",IF(OR($F16=リスト!$X$3,$F16=リスト!$X$5),AND($G16&lt;&gt;"",$H16&lt;&gt;""),TRUE))
  ),
  "OK","NG"
)</f>
        <v>OK</v>
      </c>
    </row>
    <row r="17" spans="2:16" ht="21.95">
      <c r="B17" s="19">
        <f t="shared" si="0"/>
        <v>14</v>
      </c>
      <c r="C17" s="154"/>
      <c r="D17" s="150"/>
      <c r="E17" s="40" t="str">
        <f>IF($C17="","-",VLOOKUP($C17,取得財産等管理台帳!$D$3:$H$22,5,0))</f>
        <v>-</v>
      </c>
      <c r="F17" s="159"/>
      <c r="G17" s="160"/>
      <c r="H17" s="161"/>
      <c r="I17" s="18" t="str">
        <f>IF(OR($C17="",$D17=""),"-",VLOOKUP($C17,取得財産等管理台帳!$D$3:$H$22,3,0)*$D17)</f>
        <v>-</v>
      </c>
      <c r="M17" s="124" t="str">
        <f>IF(OR($C17="",COUNTIF(取得財産等管理台帳!$D:$D, $C17) &gt; 0), "OK", "NG")</f>
        <v>OK</v>
      </c>
      <c r="N17" s="124" t="str">
        <f>IF(OR($C17="",$D17=""),"OK",
  IF($D17&lt;=VLOOKUP($C17,取得財産等管理台帳!$D$3:$E$22,2,0), "OK",
 "NG")
)</f>
        <v>OK</v>
      </c>
      <c r="O17" s="124" t="str">
        <f t="shared" si="1"/>
        <v>OK</v>
      </c>
      <c r="P17" s="124" t="str">
        <f>IF(
  OR(
    $C17="",
    AND($C17&lt;&gt;"",$D17&lt;&gt;"",$F17&lt;&gt;"",IF(OR($F17=リスト!$X$3,$F17=リスト!$X$5),AND($G17&lt;&gt;"",$H17&lt;&gt;""),TRUE))
  ),
  "OK","NG"
)</f>
        <v>OK</v>
      </c>
    </row>
    <row r="18" spans="2:16" ht="21.95">
      <c r="B18" s="19">
        <f t="shared" si="0"/>
        <v>15</v>
      </c>
      <c r="C18" s="154"/>
      <c r="D18" s="150"/>
      <c r="E18" s="40" t="str">
        <f>IF($C18="","-",VLOOKUP($C18,取得財産等管理台帳!$D$3:$H$22,5,0))</f>
        <v>-</v>
      </c>
      <c r="F18" s="159"/>
      <c r="G18" s="160"/>
      <c r="H18" s="161"/>
      <c r="I18" s="18" t="str">
        <f>IF(OR($C18="",$D18=""),"-",VLOOKUP($C18,取得財産等管理台帳!$D$3:$H$22,3,0)*$D18)</f>
        <v>-</v>
      </c>
      <c r="M18" s="124" t="str">
        <f>IF(OR($C18="",COUNTIF(取得財産等管理台帳!$D:$D, $C18) &gt; 0), "OK", "NG")</f>
        <v>OK</v>
      </c>
      <c r="N18" s="124" t="str">
        <f>IF(OR($C18="",$D18=""),"OK",
  IF($D18&lt;=VLOOKUP($C18,取得財産等管理台帳!$D$3:$E$22,2,0), "OK",
 "NG")
)</f>
        <v>OK</v>
      </c>
      <c r="O18" s="124" t="str">
        <f t="shared" si="1"/>
        <v>OK</v>
      </c>
      <c r="P18" s="124" t="str">
        <f>IF(
  OR(
    $C18="",
    AND($C18&lt;&gt;"",$D18&lt;&gt;"",$F18&lt;&gt;"",IF(OR($F18=リスト!$X$3,$F18=リスト!$X$5),AND($G18&lt;&gt;"",$H18&lt;&gt;""),TRUE))
  ),
  "OK","NG"
)</f>
        <v>OK</v>
      </c>
    </row>
    <row r="19" spans="2:16" ht="21.95">
      <c r="B19" s="19">
        <f t="shared" si="0"/>
        <v>16</v>
      </c>
      <c r="C19" s="154"/>
      <c r="D19" s="150"/>
      <c r="E19" s="40" t="str">
        <f>IF($C19="","-",VLOOKUP($C19,取得財産等管理台帳!$D$3:$H$22,5,0))</f>
        <v>-</v>
      </c>
      <c r="F19" s="159"/>
      <c r="G19" s="160"/>
      <c r="H19" s="161"/>
      <c r="I19" s="18" t="str">
        <f>IF(OR($C19="",$D19=""),"-",VLOOKUP($C19,取得財産等管理台帳!$D$3:$H$22,3,0)*$D19)</f>
        <v>-</v>
      </c>
      <c r="M19" s="124" t="str">
        <f>IF(OR($C19="",COUNTIF(取得財産等管理台帳!$D:$D, $C19) &gt; 0), "OK", "NG")</f>
        <v>OK</v>
      </c>
      <c r="N19" s="124" t="str">
        <f>IF(OR($C19="",$D19=""),"OK",
  IF($D19&lt;=VLOOKUP($C19,取得財産等管理台帳!$D$3:$E$22,2,0), "OK",
 "NG")
)</f>
        <v>OK</v>
      </c>
      <c r="O19" s="124" t="str">
        <f t="shared" si="1"/>
        <v>OK</v>
      </c>
      <c r="P19" s="124" t="str">
        <f>IF(
  OR(
    $C19="",
    AND($C19&lt;&gt;"",$D19&lt;&gt;"",$F19&lt;&gt;"",IF(OR($F19=リスト!$X$3,$F19=リスト!$X$5),AND($G19&lt;&gt;"",$H19&lt;&gt;""),TRUE))
  ),
  "OK","NG"
)</f>
        <v>OK</v>
      </c>
    </row>
    <row r="20" spans="2:16" ht="21.95">
      <c r="B20" s="19">
        <f t="shared" si="0"/>
        <v>17</v>
      </c>
      <c r="C20" s="154"/>
      <c r="D20" s="150"/>
      <c r="E20" s="40" t="str">
        <f>IF($C20="","-",VLOOKUP($C20,取得財産等管理台帳!$D$3:$H$22,5,0))</f>
        <v>-</v>
      </c>
      <c r="F20" s="159"/>
      <c r="G20" s="160"/>
      <c r="H20" s="161"/>
      <c r="I20" s="18" t="str">
        <f>IF(OR($C20="",$D20=""),"-",VLOOKUP($C20,取得財産等管理台帳!$D$3:$H$22,3,0)*$D20)</f>
        <v>-</v>
      </c>
      <c r="M20" s="124" t="str">
        <f>IF(OR($C20="",COUNTIF(取得財産等管理台帳!$D:$D, $C20) &gt; 0), "OK", "NG")</f>
        <v>OK</v>
      </c>
      <c r="N20" s="124" t="str">
        <f>IF(OR($C20="",$D20=""),"OK",
  IF($D20&lt;=VLOOKUP($C20,取得財産等管理台帳!$D$3:$E$22,2,0), "OK",
 "NG")
)</f>
        <v>OK</v>
      </c>
      <c r="O20" s="124" t="str">
        <f t="shared" si="1"/>
        <v>OK</v>
      </c>
      <c r="P20" s="124" t="str">
        <f>IF(
  OR(
    $C20="",
    AND($C20&lt;&gt;"",$D20&lt;&gt;"",$F20&lt;&gt;"",IF(OR($F20=リスト!$X$3,$F20=リスト!$X$5),AND($G20&lt;&gt;"",$H20&lt;&gt;""),TRUE))
  ),
  "OK","NG"
)</f>
        <v>OK</v>
      </c>
    </row>
    <row r="21" spans="2:16" ht="21.95">
      <c r="B21" s="19">
        <f t="shared" si="0"/>
        <v>18</v>
      </c>
      <c r="C21" s="154"/>
      <c r="D21" s="150"/>
      <c r="E21" s="40" t="str">
        <f>IF($C21="","-",VLOOKUP($C21,取得財産等管理台帳!$D$3:$H$22,5,0))</f>
        <v>-</v>
      </c>
      <c r="F21" s="159"/>
      <c r="G21" s="160"/>
      <c r="H21" s="161"/>
      <c r="I21" s="18" t="str">
        <f>IF(OR($C21="",$D21=""),"-",VLOOKUP($C21,取得財産等管理台帳!$D$3:$H$22,3,0)*$D21)</f>
        <v>-</v>
      </c>
      <c r="M21" s="124" t="str">
        <f>IF(OR($C21="",COUNTIF(取得財産等管理台帳!$D:$D, $C21) &gt; 0), "OK", "NG")</f>
        <v>OK</v>
      </c>
      <c r="N21" s="124" t="str">
        <f>IF(OR($C21="",$D21=""),"OK",
  IF($D21&lt;=VLOOKUP($C21,取得財産等管理台帳!$D$3:$E$22,2,0), "OK",
 "NG")
)</f>
        <v>OK</v>
      </c>
      <c r="O21" s="124" t="str">
        <f t="shared" si="1"/>
        <v>OK</v>
      </c>
      <c r="P21" s="124" t="str">
        <f>IF(
  OR(
    $C21="",
    AND($C21&lt;&gt;"",$D21&lt;&gt;"",$F21&lt;&gt;"",IF(OR($F21=リスト!$X$3,$F21=リスト!$X$5),AND($G21&lt;&gt;"",$H21&lt;&gt;""),TRUE))
  ),
  "OK","NG"
)</f>
        <v>OK</v>
      </c>
    </row>
    <row r="22" spans="2:16" ht="21.95">
      <c r="B22" s="19">
        <f t="shared" si="0"/>
        <v>19</v>
      </c>
      <c r="C22" s="154"/>
      <c r="D22" s="150"/>
      <c r="E22" s="40" t="str">
        <f>IF($C22="","-",VLOOKUP($C22,取得財産等管理台帳!$D$3:$H$22,5,0))</f>
        <v>-</v>
      </c>
      <c r="F22" s="159"/>
      <c r="G22" s="160"/>
      <c r="H22" s="161"/>
      <c r="I22" s="18" t="str">
        <f>IF(OR($C22="",$D22=""),"-",VLOOKUP($C22,取得財産等管理台帳!$D$3:$H$22,3,0)*$D22)</f>
        <v>-</v>
      </c>
      <c r="M22" s="124" t="str">
        <f>IF(OR($C22="",COUNTIF(取得財産等管理台帳!$D:$D, $C22) &gt; 0), "OK", "NG")</f>
        <v>OK</v>
      </c>
      <c r="N22" s="124" t="str">
        <f>IF(OR($C22="",$D22=""),"OK",
  IF($D22&lt;=VLOOKUP($C22,取得財産等管理台帳!$D$3:$E$22,2,0), "OK",
 "NG")
)</f>
        <v>OK</v>
      </c>
      <c r="O22" s="124" t="str">
        <f t="shared" si="1"/>
        <v>OK</v>
      </c>
      <c r="P22" s="124" t="str">
        <f>IF(
  OR(
    $C22="",
    AND($C22&lt;&gt;"",$D22&lt;&gt;"",$F22&lt;&gt;"",IF(OR($F22=リスト!$X$3,$F22=リスト!$X$5),AND($G22&lt;&gt;"",$H22&lt;&gt;""),TRUE))
  ),
  "OK","NG"
)</f>
        <v>OK</v>
      </c>
    </row>
    <row r="23" spans="2:16" ht="22.5" thickBot="1">
      <c r="B23" s="19">
        <f t="shared" si="0"/>
        <v>20</v>
      </c>
      <c r="C23" s="155"/>
      <c r="D23" s="152"/>
      <c r="E23" s="40" t="str">
        <f>IF($C23="","-",VLOOKUP($C23,取得財産等管理台帳!$D$3:$H$22,5,0))</f>
        <v>-</v>
      </c>
      <c r="F23" s="162"/>
      <c r="G23" s="163"/>
      <c r="H23" s="164"/>
      <c r="I23" s="18" t="str">
        <f>IF(OR($C23="",$D23=""),"-",VLOOKUP($C23,取得財産等管理台帳!$D$3:$H$22,3,0)*$D23)</f>
        <v>-</v>
      </c>
      <c r="M23" s="124" t="str">
        <f>IF(OR($C23="",COUNTIF(取得財産等管理台帳!$D:$D, $C23) &gt; 0), "OK", "NG")</f>
        <v>OK</v>
      </c>
      <c r="N23" s="124" t="str">
        <f>IF(OR($C23="",$D23=""),"OK",
  IF($D23&lt;=VLOOKUP($C23,取得財産等管理台帳!$D$3:$E$22,2,0), "OK",
 "NG")
)</f>
        <v>OK</v>
      </c>
      <c r="O23" s="124" t="str">
        <f t="shared" si="1"/>
        <v>OK</v>
      </c>
      <c r="P23" s="124" t="str">
        <f>IF(
  OR(
    $C23="",
    AND($C23&lt;&gt;"",$D23&lt;&gt;"",$F23&lt;&gt;"",IF(OR($F23=リスト!$X$3,$F23=リスト!$X$5),AND($G23&lt;&gt;"",$H23&lt;&gt;""),TRUE))
  ),
  "OK","NG"
)</f>
        <v>OK</v>
      </c>
    </row>
    <row r="24" spans="2:16" ht="22.5" thickTop="1">
      <c r="B24" s="25" t="s">
        <v>148</v>
      </c>
      <c r="C24" s="26"/>
      <c r="D24" s="26"/>
      <c r="E24" s="26"/>
      <c r="F24" s="26"/>
      <c r="G24" s="33"/>
      <c r="H24" s="34">
        <f>SUM($H$4:$H$23)</f>
        <v>0</v>
      </c>
      <c r="I24" s="41">
        <f>SUM($I$4:$I$23)</f>
        <v>0</v>
      </c>
    </row>
    <row r="26" spans="2:16">
      <c r="B26" s="4" t="s">
        <v>127</v>
      </c>
      <c r="C26" s="5" t="s">
        <v>149</v>
      </c>
      <c r="D26" s="5"/>
    </row>
    <row r="27" spans="2:16">
      <c r="B27" s="4" t="s">
        <v>129</v>
      </c>
      <c r="C27" s="5" t="s">
        <v>150</v>
      </c>
      <c r="D27" s="5"/>
    </row>
    <row r="28" spans="2:16">
      <c r="B28" s="4" t="s">
        <v>131</v>
      </c>
      <c r="C28" s="5" t="s">
        <v>151</v>
      </c>
      <c r="D28" s="5"/>
    </row>
    <row r="29" spans="2:16">
      <c r="B29" s="4" t="s">
        <v>133</v>
      </c>
      <c r="C29" s="5" t="s">
        <v>152</v>
      </c>
      <c r="D29" s="5"/>
    </row>
    <row r="30" spans="2:16">
      <c r="B30" s="4" t="s">
        <v>135</v>
      </c>
      <c r="C30" s="5" t="s">
        <v>153</v>
      </c>
      <c r="D30" s="5"/>
    </row>
  </sheetData>
  <sheetProtection algorithmName="SHA-512" hashValue="jDtZ7k0nbTWBcRdDnpcXKrjya7XVx6zuKJ2MVbX0gF3A3ixpZE03/wugWoJ6UzYegXMzBWzUrlKaV4V/IsmFUQ==" saltValue="t8C78owtK52Ch40M1LPqnQ==" spinCount="100000" sheet="1" objects="1" scenarios="1" selectLockedCells="1"/>
  <phoneticPr fontId="2"/>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 id="{834449C7-1A2E-4FC2-B453-CE56512976E7}">
            <xm:f>AND($F4&lt;&gt;リスト!$X$3,$F4&lt;&gt;リスト!$X$5)</xm:f>
            <x14:dxf>
              <fill>
                <patternFill>
                  <bgColor theme="0" tint="-0.14996795556505021"/>
                </patternFill>
              </fill>
            </x14:dxf>
          </x14:cfRule>
          <xm:sqref>G4:H23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26494B5C-3DFD-4D51-91EF-48D23738EA16}">
          <x14:formula1>
            <xm:f>リスト!$X$3:$X$11</xm:f>
          </x14:formula1>
          <xm:sqref>F4:F23</xm:sqref>
        </x14:dataValidation>
        <x14:dataValidation type="list" allowBlank="1" showInputMessage="1" showErrorMessage="1" xr:uid="{0E2797EE-C5D0-404F-99B9-2B11E5135F02}">
          <x14:formula1>
            <xm:f>リスト!$Y$3:$Y$4</xm:f>
          </x14:formula1>
          <xm:sqref>G4:G23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8B9F5-5888-4595-B9F4-592CFD36BF96}">
  <dimension ref="B2:AB30"/>
  <sheetViews>
    <sheetView showGridLines="0" zoomScaleNormal="100" workbookViewId="0">
      <selection activeCell="C6" sqref="C6"/>
    </sheetView>
  </sheetViews>
  <sheetFormatPr defaultColWidth="9.109375" defaultRowHeight="15"/>
  <cols>
    <col min="1" max="1" width="2.44140625" style="2" customWidth="1"/>
    <col min="2" max="2" width="6.88671875" style="2" customWidth="1"/>
    <col min="3" max="3" width="47.77734375" style="2" customWidth="1"/>
    <col min="4" max="4" width="10.33203125" style="2" customWidth="1"/>
    <col min="5" max="5" width="13" style="2" customWidth="1"/>
    <col min="6" max="6" width="50.109375" style="2" customWidth="1"/>
    <col min="7" max="7" width="34" style="2" customWidth="1"/>
    <col min="8" max="8" width="19" style="2" customWidth="1"/>
    <col min="9" max="10" width="34" style="2" customWidth="1"/>
    <col min="11" max="12" width="19" style="2" customWidth="1"/>
    <col min="13" max="13" width="18" style="2" customWidth="1"/>
    <col min="14" max="17" width="34" style="2" customWidth="1"/>
    <col min="18" max="18" width="3.109375" style="2" customWidth="1"/>
    <col min="19" max="19" width="11.44140625" style="2" customWidth="1"/>
    <col min="20" max="20" width="3.109375" style="2" customWidth="1"/>
    <col min="21" max="16384" width="9.109375" style="2"/>
  </cols>
  <sheetData>
    <row r="2" spans="2:28" ht="54.6" thickBot="1">
      <c r="C2" s="48"/>
      <c r="D2" s="48"/>
      <c r="E2" s="49"/>
      <c r="F2" s="48"/>
      <c r="G2" s="48"/>
      <c r="H2" s="48"/>
      <c r="I2" s="38"/>
      <c r="K2" s="23" t="s">
        <v>154</v>
      </c>
      <c r="L2" s="23" t="s">
        <v>155</v>
      </c>
      <c r="M2" s="23" t="s">
        <v>156</v>
      </c>
      <c r="S2" s="3" t="s">
        <v>120</v>
      </c>
      <c r="U2" s="124" t="s">
        <v>140</v>
      </c>
      <c r="V2" s="124" t="s">
        <v>121</v>
      </c>
      <c r="W2" s="124" t="s">
        <v>122</v>
      </c>
      <c r="X2" s="124" t="s">
        <v>157</v>
      </c>
      <c r="Y2" s="124" t="s">
        <v>158</v>
      </c>
      <c r="AA2" s="130" t="s">
        <v>159</v>
      </c>
      <c r="AB2" s="130" t="s">
        <v>160</v>
      </c>
    </row>
    <row r="3" spans="2:28" ht="23.1" thickTop="1" thickBot="1">
      <c r="C3" s="50"/>
      <c r="D3" s="50"/>
      <c r="E3" s="49"/>
      <c r="F3" s="50"/>
      <c r="G3" s="50"/>
      <c r="H3" s="50"/>
      <c r="I3" s="39"/>
      <c r="K3" s="174"/>
      <c r="L3" s="175"/>
      <c r="M3" s="176"/>
      <c r="S3" s="123" t="str">
        <f>IF(COUNTIF(U3:Y25,"NG")&gt;0,"NG","OK")</f>
        <v>NG</v>
      </c>
      <c r="U3" s="124" t="s">
        <v>161</v>
      </c>
      <c r="V3" s="124" t="s">
        <v>161</v>
      </c>
      <c r="W3" s="124" t="str">
        <f>IF(
  AND($K3&lt;&gt;"",$L3&lt;&gt;"",$M3&lt;&gt;""),"OK","NG"
)</f>
        <v>NG</v>
      </c>
      <c r="X3" s="124" t="s">
        <v>161</v>
      </c>
      <c r="Y3" s="124" t="s">
        <v>161</v>
      </c>
      <c r="AA3" s="124" t="s">
        <v>161</v>
      </c>
      <c r="AB3" s="124" t="s">
        <v>161</v>
      </c>
    </row>
    <row r="4" spans="2:28" ht="15.6" thickTop="1">
      <c r="U4" s="124"/>
      <c r="V4" s="124"/>
      <c r="W4" s="124"/>
      <c r="X4" s="124"/>
      <c r="Y4" s="124"/>
      <c r="AA4" s="124"/>
      <c r="AB4" s="124"/>
    </row>
    <row r="5" spans="2:28" ht="44.45" thickBot="1">
      <c r="B5" s="3" t="s">
        <v>106</v>
      </c>
      <c r="C5" s="7" t="s">
        <v>142</v>
      </c>
      <c r="D5" s="7" t="s">
        <v>143</v>
      </c>
      <c r="E5" s="7" t="s">
        <v>162</v>
      </c>
      <c r="F5" s="45" t="s">
        <v>138</v>
      </c>
      <c r="G5" s="8" t="s">
        <v>163</v>
      </c>
      <c r="H5" s="45" t="s">
        <v>145</v>
      </c>
      <c r="I5" s="44" t="s">
        <v>146</v>
      </c>
      <c r="J5" s="8" t="s">
        <v>164</v>
      </c>
      <c r="K5" s="8" t="s">
        <v>144</v>
      </c>
      <c r="L5" s="8" t="s">
        <v>165</v>
      </c>
      <c r="M5" s="8" t="s">
        <v>166</v>
      </c>
      <c r="N5" s="8" t="s">
        <v>167</v>
      </c>
      <c r="O5" s="8" t="s">
        <v>168</v>
      </c>
      <c r="P5" s="8" t="s">
        <v>169</v>
      </c>
      <c r="Q5" s="8" t="s">
        <v>170</v>
      </c>
      <c r="U5" s="124"/>
      <c r="V5" s="124"/>
      <c r="W5" s="124"/>
      <c r="X5" s="124"/>
      <c r="Y5" s="124"/>
      <c r="AA5" s="124"/>
      <c r="AB5" s="124"/>
    </row>
    <row r="6" spans="2:28" ht="22.5" thickTop="1">
      <c r="B6" s="19">
        <f>ROW()-ROW($B$5)</f>
        <v>1</v>
      </c>
      <c r="C6" s="153"/>
      <c r="D6" s="22" t="str">
        <f>IF(OR($C6="",財産処分承認申請用!$G4=""),"-",VLOOKUP($C6,財産処分承認申請用!$C$4:$I$23,2,0))</f>
        <v>-</v>
      </c>
      <c r="E6" s="129" t="str">
        <f>IF($C6="","-",VLOOKUP($C6,取得財産等管理台帳!$D$3:$M$22,10,0))</f>
        <v>-</v>
      </c>
      <c r="F6" s="46" t="str">
        <f>IF($C6="","-",VLOOKUP($C6,財産処分承認申請用!$C$4:$I$23,4,0))</f>
        <v>-</v>
      </c>
      <c r="G6" s="165"/>
      <c r="H6" s="47" t="str">
        <f>IF(OR($C6="",財産処分承認申請用!$G4=""),"-",VLOOKUP($C6,財産処分承認申請用!$C$4:$I$23,5,0))</f>
        <v>-</v>
      </c>
      <c r="I6" s="16" t="str">
        <f>IF(OR($C6="",財産処分承認申請用!$H4=""),"-",VLOOKUP($C6,財産処分承認申請用!$C$4:$I$23,6,0))</f>
        <v>-</v>
      </c>
      <c r="J6" s="16" t="str">
        <f>IF(OR($C6="",財産処分承認申請用!$H4=""),"-",VLOOKUP($C6,財産処分承認申請用!$C$4:$I$23,7,0))</f>
        <v>-</v>
      </c>
      <c r="K6" s="20" t="str">
        <f>IF($C6="","-",VLOOKUP($C6,取得財産等管理台帳!$D$3:$M$22,5,0))</f>
        <v>-</v>
      </c>
      <c r="L6" s="168"/>
      <c r="M6" s="169"/>
      <c r="N6" s="21" t="str">
        <f>IF($M6="","-",
 IF($M6=リスト!$AA$3,残存簿価計算用!$DT6,
 IF($M6=リスト!$AA$4,残存簿価計算用!$DU6
)))</f>
        <v>-</v>
      </c>
      <c r="O6" s="177"/>
      <c r="P6" s="134"/>
      <c r="Q6" s="18" t="str">
        <f>IF(OR($O6="",$P6=""),"-",
  ROUNDDOWN(
   IF(OR($F6=リスト!$X$3,$F6=リスト!$X$5,$F6=リスト!$X$8),
     IF($G6*$P6/$O6&lt;=$P6,$G6*$P6/$O6,$P6),
     $N6*$P6/$O6),
   0
))</f>
        <v>-</v>
      </c>
      <c r="U6" s="124" t="str">
        <f>IF(OR($C6="",COUNTIF(取得財産等管理台帳!$D:$D, $C6) &gt; 0), "OK", "NG")</f>
        <v>OK</v>
      </c>
      <c r="V6" s="124" t="str">
        <f>IF(
  AND(
    OR($G6="", IF(ISNUMBER($G6), AND($G6&gt;0, $G6=INT($G6)), FALSE)),
    OR($O6="", IF(ISNUMBER($O6), AND($O6&gt;0, $O6=INT($O6)), FALSE)),
    OR($P6="", IF(ISNUMBER($P6), AND($P6&gt;0, $P6=INT($P6)), FALSE)),
    OR($L6="", AND(ISNUMBER($L6), $L6&gt;=DATE(2025,7,15), $L6&lt;=DATE(2075,12,31)))
  ),
  "OK","NG"
)</f>
        <v>OK</v>
      </c>
      <c r="W6" s="124" t="str">
        <f>IF(
  OR(
    $C6="",
    AND($C6&lt;&gt;"",$G6&lt;&gt;"",$L6&lt;&gt;"",$M6&lt;&gt;"",$O6&lt;&gt;"",$P6&lt;&gt;"")
  ),
  "OK","NG"
)</f>
        <v>OK</v>
      </c>
      <c r="X6" s="124"/>
      <c r="Y6" s="124" t="str">
        <f>IF(
  OR($L6="", $L6&gt;=$K6),
  "OK","NG"
)</f>
        <v>OK</v>
      </c>
      <c r="AA6" s="124" t="str">
        <f>IF(AND($G6&lt;&gt;"",$H6&lt;&gt;リスト!$Y$3),
   IF($G6=$N6,"=",IF($G6&gt;$N6,"&gt;","&lt;")),"-"
)</f>
        <v>-</v>
      </c>
      <c r="AB6" s="124" t="str">
        <f>IF(AND($G6&lt;&gt;"",$H6=リスト!$Y$3),
   IF($G6=$I6,"=",IF($G6&gt;$I6,"&gt;","&lt;")),"-"
)</f>
        <v>-</v>
      </c>
    </row>
    <row r="7" spans="2:28" ht="21.95">
      <c r="B7" s="19">
        <f t="shared" ref="B7:B25" si="0">ROW()-ROW($B$5)</f>
        <v>2</v>
      </c>
      <c r="C7" s="154"/>
      <c r="D7" s="22" t="str">
        <f>IF(OR($C7="",財産処分承認申請用!$G5=""),"-",VLOOKUP($C7,財産処分承認申請用!$C$4:$I$23,2,0))</f>
        <v>-</v>
      </c>
      <c r="E7" s="129" t="str">
        <f>IF($C7="","-",VLOOKUP($C7,取得財産等管理台帳!$D$3:$M$22,10,0))</f>
        <v>-</v>
      </c>
      <c r="F7" s="46" t="str">
        <f>IF($C7="","-",VLOOKUP($C7,財産処分承認申請用!$C$4:$I$23,4,0))</f>
        <v>-</v>
      </c>
      <c r="G7" s="166"/>
      <c r="H7" s="47" t="str">
        <f>IF(OR($C7="",財産処分承認申請用!$G5=""),"-",VLOOKUP($C7,財産処分承認申請用!$C$4:$I$23,5,0))</f>
        <v>-</v>
      </c>
      <c r="I7" s="16" t="str">
        <f>IF(OR($C7="",財産処分承認申請用!$H5=""),"-",VLOOKUP($C7,財産処分承認申請用!$C$4:$I$23,6,0))</f>
        <v>-</v>
      </c>
      <c r="J7" s="16" t="str">
        <f>IF(OR($C7="",財産処分承認申請用!$H5=""),"-",VLOOKUP($C7,財産処分承認申請用!$C$4:$I$23,7,0))</f>
        <v>-</v>
      </c>
      <c r="K7" s="20" t="str">
        <f>IF($C7="","-",VLOOKUP($C7,取得財産等管理台帳!$D$3:$M$22,5,0))</f>
        <v>-</v>
      </c>
      <c r="L7" s="170"/>
      <c r="M7" s="171"/>
      <c r="N7" s="21" t="str">
        <f>IF($M7="","-",
 IF($M7=リスト!$AA$3,残存簿価計算用!$DT7,
 IF($M7=リスト!$AA$4,残存簿価計算用!$DU7
)))</f>
        <v>-</v>
      </c>
      <c r="O7" s="178"/>
      <c r="P7" s="137"/>
      <c r="Q7" s="18" t="str">
        <f>IF(OR($O7="",$P7=""),"-",
  ROUNDDOWN(
   IF(OR($F7=リスト!$X$3,$F7=リスト!$X$5,$F7=リスト!$X$8),
     IF($G7*$P7/$O7&lt;=$P7,$G7*$P7/$O7,$P7),
     $N7*$P7/$O7),
   0
))</f>
        <v>-</v>
      </c>
      <c r="U7" s="124" t="str">
        <f>IF(OR($C7="",COUNTIF(取得財産等管理台帳!$D:$D, $C7) &gt; 0), "OK", "NG")</f>
        <v>OK</v>
      </c>
      <c r="V7" s="124" t="str">
        <f t="shared" ref="V7:V25" si="1">IF(
  AND(
    OR($G7="", IF(ISNUMBER($G7), AND($G7&gt;0, $G7=INT($G7)), FALSE)),
    OR($O7="", IF(ISNUMBER($O7), AND($O7&gt;0, $O7=INT($O7)), FALSE)),
    OR($P7="", IF(ISNUMBER($P7), AND($P7&gt;0, $P7=INT($P7)), FALSE)),
    OR($L7="", AND(ISNUMBER($L7), $L7&gt;=DATE(2025,7,15), $L7&lt;=DATE(2075,12,31)))
  ),
  "OK","NG"
)</f>
        <v>OK</v>
      </c>
      <c r="W7" s="124" t="str">
        <f t="shared" ref="W7:W25" si="2">IF(
  OR(
    $C7="",
    AND($C7&lt;&gt;"",$G7&lt;&gt;"",$L7&lt;&gt;"",$M7&lt;&gt;"",$O7&lt;&gt;"",$P7&lt;&gt;"")
  ),
  "OK","NG"
)</f>
        <v>OK</v>
      </c>
      <c r="X7" s="124"/>
      <c r="Y7" s="124" t="str">
        <f t="shared" ref="Y7:Y25" si="3">IF(
  OR($L7="", $L7&gt;=$K7),
  "OK","NG"
)</f>
        <v>OK</v>
      </c>
      <c r="AA7" s="124" t="str">
        <f>IF(AND($G7&lt;&gt;"",$H7&lt;&gt;リスト!$Y$3),
   IF($G7=$N7,"=",IF($G7&gt;$N7,"&gt;","&lt;")),"-"
)</f>
        <v>-</v>
      </c>
      <c r="AB7" s="124" t="str">
        <f>IF(AND($G7&lt;&gt;"",$H7=リスト!$Y$3),
   IF($G7=$I7,"=",IF($G7&gt;$I7,"&gt;","&lt;")),"-"
)</f>
        <v>-</v>
      </c>
    </row>
    <row r="8" spans="2:28" ht="21.95">
      <c r="B8" s="19">
        <f t="shared" si="0"/>
        <v>3</v>
      </c>
      <c r="C8" s="154"/>
      <c r="D8" s="22" t="str">
        <f>IF(OR($C8="",財産処分承認申請用!$G6=""),"-",VLOOKUP($C8,財産処分承認申請用!$C$4:$I$23,2,0))</f>
        <v>-</v>
      </c>
      <c r="E8" s="129" t="str">
        <f>IF($C8="","-",VLOOKUP($C8,取得財産等管理台帳!$D$3:$M$22,10,0))</f>
        <v>-</v>
      </c>
      <c r="F8" s="46" t="str">
        <f>IF($C8="","-",VLOOKUP($C8,財産処分承認申請用!$C$4:$I$23,4,0))</f>
        <v>-</v>
      </c>
      <c r="G8" s="166"/>
      <c r="H8" s="47" t="str">
        <f>IF(OR($C8="",財産処分承認申請用!$G6=""),"-",VLOOKUP($C8,財産処分承認申請用!$C$4:$I$23,5,0))</f>
        <v>-</v>
      </c>
      <c r="I8" s="16" t="str">
        <f>IF(OR($C8="",財産処分承認申請用!$H6=""),"-",VLOOKUP($C8,財産処分承認申請用!$C$4:$I$23,6,0))</f>
        <v>-</v>
      </c>
      <c r="J8" s="16" t="str">
        <f>IF(OR($C8="",財産処分承認申請用!$H6=""),"-",VLOOKUP($C8,財産処分承認申請用!$C$4:$I$23,7,0))</f>
        <v>-</v>
      </c>
      <c r="K8" s="20" t="str">
        <f>IF($C8="","-",VLOOKUP($C8,取得財産等管理台帳!$D$3:$M$22,5,0))</f>
        <v>-</v>
      </c>
      <c r="L8" s="170"/>
      <c r="M8" s="171"/>
      <c r="N8" s="21" t="str">
        <f>IF($M8="","-",
 IF($M8=リスト!$AA$3,残存簿価計算用!$DT8,
 IF($M8=リスト!$AA$4,残存簿価計算用!$DU8
)))</f>
        <v>-</v>
      </c>
      <c r="O8" s="178"/>
      <c r="P8" s="137"/>
      <c r="Q8" s="18" t="str">
        <f>IF(OR($O8="",$P8=""),"-",
  ROUNDDOWN(
   IF(OR($F8=リスト!$X$3,$F8=リスト!$X$5,$F8=リスト!$X$8),
     IF($G8*$P8/$O8&lt;=$P8,$G8*$P8/$O8,$P8),
     $N8*$P8/$O8),
   0
))</f>
        <v>-</v>
      </c>
      <c r="U8" s="124" t="str">
        <f>IF(OR($C8="",COUNTIF(取得財産等管理台帳!$D:$D, $C8) &gt; 0), "OK", "NG")</f>
        <v>OK</v>
      </c>
      <c r="V8" s="124" t="str">
        <f t="shared" si="1"/>
        <v>OK</v>
      </c>
      <c r="W8" s="124" t="str">
        <f t="shared" si="2"/>
        <v>OK</v>
      </c>
      <c r="X8" s="124"/>
      <c r="Y8" s="124" t="str">
        <f t="shared" si="3"/>
        <v>OK</v>
      </c>
      <c r="AA8" s="124" t="str">
        <f>IF(AND($G8&lt;&gt;"",$H8&lt;&gt;リスト!$Y$3),
   IF($G8=$N8,"=",IF($G8&gt;$N8,"&gt;","&lt;")),"-"
)</f>
        <v>-</v>
      </c>
      <c r="AB8" s="124" t="str">
        <f>IF(AND($G8&lt;&gt;"",$H8=リスト!$Y$3),
   IF($G8=$I8,"=",IF($G8&gt;$I8,"&gt;","&lt;")),"-"
)</f>
        <v>-</v>
      </c>
    </row>
    <row r="9" spans="2:28" ht="21.95">
      <c r="B9" s="19">
        <f t="shared" si="0"/>
        <v>4</v>
      </c>
      <c r="C9" s="154"/>
      <c r="D9" s="22" t="str">
        <f>IF(OR($C9="",財産処分承認申請用!$G7=""),"-",VLOOKUP($C9,財産処分承認申請用!$C$4:$I$23,2,0))</f>
        <v>-</v>
      </c>
      <c r="E9" s="129" t="str">
        <f>IF($C9="","-",VLOOKUP($C9,取得財産等管理台帳!$D$3:$M$22,10,0))</f>
        <v>-</v>
      </c>
      <c r="F9" s="46" t="str">
        <f>IF($C9="","-",VLOOKUP($C9,財産処分承認申請用!$C$4:$I$23,4,0))</f>
        <v>-</v>
      </c>
      <c r="G9" s="166"/>
      <c r="H9" s="47" t="str">
        <f>IF(OR($C9="",財産処分承認申請用!$G7=""),"-",VLOOKUP($C9,財産処分承認申請用!$C$4:$I$23,5,0))</f>
        <v>-</v>
      </c>
      <c r="I9" s="16" t="str">
        <f>IF(OR($C9="",財産処分承認申請用!$H7=""),"-",VLOOKUP($C9,財産処分承認申請用!$C$4:$I$23,6,0))</f>
        <v>-</v>
      </c>
      <c r="J9" s="16" t="str">
        <f>IF(OR($C9="",財産処分承認申請用!$H7=""),"-",VLOOKUP($C9,財産処分承認申請用!$C$4:$I$23,7,0))</f>
        <v>-</v>
      </c>
      <c r="K9" s="20" t="str">
        <f>IF($C9="","-",VLOOKUP($C9,取得財産等管理台帳!$D$3:$M$22,5,0))</f>
        <v>-</v>
      </c>
      <c r="L9" s="170"/>
      <c r="M9" s="171"/>
      <c r="N9" s="21" t="str">
        <f>IF($M9="","-",
 IF($M9=リスト!$AA$3,残存簿価計算用!$DT9,
 IF($M9=リスト!$AA$4,残存簿価計算用!$DU9
)))</f>
        <v>-</v>
      </c>
      <c r="O9" s="178"/>
      <c r="P9" s="137"/>
      <c r="Q9" s="18" t="str">
        <f>IF(OR($O9="",$P9=""),"-",
  ROUNDDOWN(
   IF(OR($F9=リスト!$X$3,$F9=リスト!$X$5,$F9=リスト!$X$8),
     IF($G9*$P9/$O9&lt;=$P9,$G9*$P9/$O9,$P9),
     $N9*$P9/$O9),
   0
))</f>
        <v>-</v>
      </c>
      <c r="U9" s="124" t="str">
        <f>IF(OR($C9="",COUNTIF(取得財産等管理台帳!$D:$D, $C9) &gt; 0), "OK", "NG")</f>
        <v>OK</v>
      </c>
      <c r="V9" s="124" t="str">
        <f t="shared" si="1"/>
        <v>OK</v>
      </c>
      <c r="W9" s="124" t="str">
        <f t="shared" si="2"/>
        <v>OK</v>
      </c>
      <c r="X9" s="124"/>
      <c r="Y9" s="124" t="str">
        <f t="shared" si="3"/>
        <v>OK</v>
      </c>
      <c r="AA9" s="124" t="str">
        <f>IF(AND($G9&lt;&gt;"",$H9&lt;&gt;リスト!$Y$3),
   IF($G9=$N9,"=",IF($G9&gt;$N9,"&gt;","&lt;")),"-"
)</f>
        <v>-</v>
      </c>
      <c r="AB9" s="124" t="str">
        <f>IF(AND($G9&lt;&gt;"",$H9=リスト!$Y$3),
   IF($G9=$I9,"=",IF($G9&gt;$I9,"&gt;","&lt;")),"-"
)</f>
        <v>-</v>
      </c>
    </row>
    <row r="10" spans="2:28" ht="21.95">
      <c r="B10" s="19">
        <f t="shared" si="0"/>
        <v>5</v>
      </c>
      <c r="C10" s="154"/>
      <c r="D10" s="22" t="str">
        <f>IF(OR($C10="",財産処分承認申請用!$G8=""),"-",VLOOKUP($C10,財産処分承認申請用!$C$4:$I$23,2,0))</f>
        <v>-</v>
      </c>
      <c r="E10" s="129" t="str">
        <f>IF($C10="","-",VLOOKUP($C10,取得財産等管理台帳!$D$3:$M$22,10,0))</f>
        <v>-</v>
      </c>
      <c r="F10" s="46" t="str">
        <f>IF($C10="","-",VLOOKUP($C10,財産処分承認申請用!$C$4:$I$23,4,0))</f>
        <v>-</v>
      </c>
      <c r="G10" s="166"/>
      <c r="H10" s="47" t="str">
        <f>IF(OR($C10="",財産処分承認申請用!$G8=""),"-",VLOOKUP($C10,財産処分承認申請用!$C$4:$I$23,5,0))</f>
        <v>-</v>
      </c>
      <c r="I10" s="16" t="str">
        <f>IF(OR($C10="",財産処分承認申請用!$H8=""),"-",VLOOKUP($C10,財産処分承認申請用!$C$4:$I$23,6,0))</f>
        <v>-</v>
      </c>
      <c r="J10" s="16" t="str">
        <f>IF(OR($C10="",財産処分承認申請用!$H8=""),"-",VLOOKUP($C10,財産処分承認申請用!$C$4:$I$23,7,0))</f>
        <v>-</v>
      </c>
      <c r="K10" s="20" t="str">
        <f>IF($C10="","-",VLOOKUP($C10,取得財産等管理台帳!$D$3:$M$22,5,0))</f>
        <v>-</v>
      </c>
      <c r="L10" s="170"/>
      <c r="M10" s="171"/>
      <c r="N10" s="21" t="str">
        <f>IF($M10="","-",
 IF($M10=リスト!$AA$3,残存簿価計算用!$DT10,
 IF($M10=リスト!$AA$4,残存簿価計算用!$DU10
)))</f>
        <v>-</v>
      </c>
      <c r="O10" s="178"/>
      <c r="P10" s="137"/>
      <c r="Q10" s="18" t="str">
        <f>IF(OR($O10="",$P10=""),"-",
  ROUNDDOWN(
   IF(OR($F10=リスト!$X$3,$F10=リスト!$X$5,$F10=リスト!$X$8),
     IF($G10*$P10/$O10&lt;=$P10,$G10*$P10/$O10,$P10),
     $N10*$P10/$O10),
   0
))</f>
        <v>-</v>
      </c>
      <c r="U10" s="124" t="str">
        <f>IF(OR($C10="",COUNTIF(取得財産等管理台帳!$D:$D, $C10) &gt; 0), "OK", "NG")</f>
        <v>OK</v>
      </c>
      <c r="V10" s="124" t="str">
        <f t="shared" si="1"/>
        <v>OK</v>
      </c>
      <c r="W10" s="124" t="str">
        <f t="shared" si="2"/>
        <v>OK</v>
      </c>
      <c r="X10" s="124"/>
      <c r="Y10" s="124" t="str">
        <f t="shared" si="3"/>
        <v>OK</v>
      </c>
      <c r="AA10" s="124" t="str">
        <f>IF(AND($G10&lt;&gt;"",$H10&lt;&gt;リスト!$Y$3),
   IF($G10=$N10,"=",IF($G10&gt;$N10,"&gt;","&lt;")),"-"
)</f>
        <v>-</v>
      </c>
      <c r="AB10" s="124" t="str">
        <f>IF(AND($G10&lt;&gt;"",$H10=リスト!$Y$3),
   IF($G10=$I10,"=",IF($G10&gt;$I10,"&gt;","&lt;")),"-"
)</f>
        <v>-</v>
      </c>
    </row>
    <row r="11" spans="2:28" ht="21.95">
      <c r="B11" s="19">
        <f t="shared" si="0"/>
        <v>6</v>
      </c>
      <c r="C11" s="154"/>
      <c r="D11" s="22" t="str">
        <f>IF(OR($C11="",財産処分承認申請用!$G9=""),"-",VLOOKUP($C11,財産処分承認申請用!$C$4:$I$23,2,0))</f>
        <v>-</v>
      </c>
      <c r="E11" s="129" t="str">
        <f>IF($C11="","-",VLOOKUP($C11,取得財産等管理台帳!$D$3:$M$22,10,0))</f>
        <v>-</v>
      </c>
      <c r="F11" s="46" t="str">
        <f>IF($C11="","-",VLOOKUP($C11,財産処分承認申請用!$C$4:$I$23,4,0))</f>
        <v>-</v>
      </c>
      <c r="G11" s="166"/>
      <c r="H11" s="47" t="str">
        <f>IF(OR($C11="",財産処分承認申請用!$G9=""),"-",VLOOKUP($C11,財産処分承認申請用!$C$4:$I$23,5,0))</f>
        <v>-</v>
      </c>
      <c r="I11" s="16" t="str">
        <f>IF(OR($C11="",財産処分承認申請用!$H9=""),"-",VLOOKUP($C11,財産処分承認申請用!$C$4:$I$23,6,0))</f>
        <v>-</v>
      </c>
      <c r="J11" s="16" t="str">
        <f>IF(OR($C11="",財産処分承認申請用!$H9=""),"-",VLOOKUP($C11,財産処分承認申請用!$C$4:$I$23,7,0))</f>
        <v>-</v>
      </c>
      <c r="K11" s="20" t="str">
        <f>IF($C11="","-",VLOOKUP($C11,取得財産等管理台帳!$D$3:$M$22,5,0))</f>
        <v>-</v>
      </c>
      <c r="L11" s="170"/>
      <c r="M11" s="171"/>
      <c r="N11" s="21" t="str">
        <f>IF($M11="","-",
 IF($M11=リスト!$AA$3,残存簿価計算用!$DT11,
 IF($M11=リスト!$AA$4,残存簿価計算用!$DU11
)))</f>
        <v>-</v>
      </c>
      <c r="O11" s="178"/>
      <c r="P11" s="137"/>
      <c r="Q11" s="18" t="str">
        <f>IF(OR($O11="",$P11=""),"-",
  ROUNDDOWN(
   IF(OR($F11=リスト!$X$3,$F11=リスト!$X$5,$F11=リスト!$X$8),
     IF($G11*$P11/$O11&lt;=$P11,$G11*$P11/$O11,$P11),
     $N11*$P11/$O11),
   0
))</f>
        <v>-</v>
      </c>
      <c r="U11" s="124" t="str">
        <f>IF(OR($C11="",COUNTIF(取得財産等管理台帳!$D:$D, $C11) &gt; 0), "OK", "NG")</f>
        <v>OK</v>
      </c>
      <c r="V11" s="124" t="str">
        <f t="shared" si="1"/>
        <v>OK</v>
      </c>
      <c r="W11" s="124" t="str">
        <f t="shared" si="2"/>
        <v>OK</v>
      </c>
      <c r="X11" s="124"/>
      <c r="Y11" s="124" t="str">
        <f t="shared" si="3"/>
        <v>OK</v>
      </c>
      <c r="AA11" s="124" t="str">
        <f>IF(AND($G11&lt;&gt;"",$H11&lt;&gt;リスト!$Y$3),
   IF($G11=$N11,"=",IF($G11&gt;$N11,"&gt;","&lt;")),"-"
)</f>
        <v>-</v>
      </c>
      <c r="AB11" s="124" t="str">
        <f>IF(AND($G11&lt;&gt;"",$H11=リスト!$Y$3),
   IF($G11=$I11,"=",IF($G11&gt;$I11,"&gt;","&lt;")),"-"
)</f>
        <v>-</v>
      </c>
    </row>
    <row r="12" spans="2:28" ht="21.95">
      <c r="B12" s="19">
        <f t="shared" si="0"/>
        <v>7</v>
      </c>
      <c r="C12" s="154"/>
      <c r="D12" s="22" t="str">
        <f>IF(OR($C12="",財産処分承認申請用!$G10=""),"-",VLOOKUP($C12,財産処分承認申請用!$C$4:$I$23,2,0))</f>
        <v>-</v>
      </c>
      <c r="E12" s="129" t="str">
        <f>IF($C12="","-",VLOOKUP($C12,取得財産等管理台帳!$D$3:$M$22,10,0))</f>
        <v>-</v>
      </c>
      <c r="F12" s="46" t="str">
        <f>IF($C12="","-",VLOOKUP($C12,財産処分承認申請用!$C$4:$I$23,4,0))</f>
        <v>-</v>
      </c>
      <c r="G12" s="166"/>
      <c r="H12" s="47" t="str">
        <f>IF(OR($C12="",財産処分承認申請用!$G10=""),"-",VLOOKUP($C12,財産処分承認申請用!$C$4:$I$23,5,0))</f>
        <v>-</v>
      </c>
      <c r="I12" s="16" t="str">
        <f>IF(OR($C12="",財産処分承認申請用!$H10=""),"-",VLOOKUP($C12,財産処分承認申請用!$C$4:$I$23,6,0))</f>
        <v>-</v>
      </c>
      <c r="J12" s="16" t="str">
        <f>IF(OR($C12="",財産処分承認申請用!$H10=""),"-",VLOOKUP($C12,財産処分承認申請用!$C$4:$I$23,7,0))</f>
        <v>-</v>
      </c>
      <c r="K12" s="20" t="str">
        <f>IF($C12="","-",VLOOKUP($C12,取得財産等管理台帳!$D$3:$M$22,5,0))</f>
        <v>-</v>
      </c>
      <c r="L12" s="170"/>
      <c r="M12" s="171"/>
      <c r="N12" s="21" t="str">
        <f>IF($M12="","-",
 IF($M12=リスト!$AA$3,残存簿価計算用!$DT12,
 IF($M12=リスト!$AA$4,残存簿価計算用!$DU12
)))</f>
        <v>-</v>
      </c>
      <c r="O12" s="178"/>
      <c r="P12" s="137"/>
      <c r="Q12" s="18" t="str">
        <f>IF(OR($O12="",$P12=""),"-",
  ROUNDDOWN(
   IF(OR($F12=リスト!$X$3,$F12=リスト!$X$5,$F12=リスト!$X$8),
     IF($G12*$P12/$O12&lt;=$P12,$G12*$P12/$O12,$P12),
     $N12*$P12/$O12),
   0
))</f>
        <v>-</v>
      </c>
      <c r="U12" s="124" t="str">
        <f>IF(OR($C12="",COUNTIF(取得財産等管理台帳!$D:$D, $C12) &gt; 0), "OK", "NG")</f>
        <v>OK</v>
      </c>
      <c r="V12" s="124" t="str">
        <f t="shared" si="1"/>
        <v>OK</v>
      </c>
      <c r="W12" s="124" t="str">
        <f t="shared" si="2"/>
        <v>OK</v>
      </c>
      <c r="X12" s="124"/>
      <c r="Y12" s="124" t="str">
        <f t="shared" si="3"/>
        <v>OK</v>
      </c>
      <c r="AA12" s="124" t="str">
        <f>IF(AND($G12&lt;&gt;"",$H12&lt;&gt;リスト!$Y$3),
   IF($G12=$N12,"=",IF($G12&gt;$N12,"&gt;","&lt;")),"-"
)</f>
        <v>-</v>
      </c>
      <c r="AB12" s="124" t="str">
        <f>IF(AND($G12&lt;&gt;"",$H12=リスト!$Y$3),
   IF($G12=$I12,"=",IF($G12&gt;$I12,"&gt;","&lt;")),"-"
)</f>
        <v>-</v>
      </c>
    </row>
    <row r="13" spans="2:28" ht="21.95">
      <c r="B13" s="19">
        <f t="shared" si="0"/>
        <v>8</v>
      </c>
      <c r="C13" s="154"/>
      <c r="D13" s="22" t="str">
        <f>IF(OR($C13="",財産処分承認申請用!$G11=""),"-",VLOOKUP($C13,財産処分承認申請用!$C$4:$I$23,2,0))</f>
        <v>-</v>
      </c>
      <c r="E13" s="129" t="str">
        <f>IF($C13="","-",VLOOKUP($C13,取得財産等管理台帳!$D$3:$M$22,10,0))</f>
        <v>-</v>
      </c>
      <c r="F13" s="46" t="str">
        <f>IF($C13="","-",VLOOKUP($C13,財産処分承認申請用!$C$4:$I$23,4,0))</f>
        <v>-</v>
      </c>
      <c r="G13" s="166"/>
      <c r="H13" s="47" t="str">
        <f>IF(OR($C13="",財産処分承認申請用!$G11=""),"-",VLOOKUP($C13,財産処分承認申請用!$C$4:$I$23,5,0))</f>
        <v>-</v>
      </c>
      <c r="I13" s="16" t="str">
        <f>IF(OR($C13="",財産処分承認申請用!$H11=""),"-",VLOOKUP($C13,財産処分承認申請用!$C$4:$I$23,6,0))</f>
        <v>-</v>
      </c>
      <c r="J13" s="16" t="str">
        <f>IF(OR($C13="",財産処分承認申請用!$H11=""),"-",VLOOKUP($C13,財産処分承認申請用!$C$4:$I$23,7,0))</f>
        <v>-</v>
      </c>
      <c r="K13" s="20" t="str">
        <f>IF($C13="","-",VLOOKUP($C13,取得財産等管理台帳!$D$3:$M$22,5,0))</f>
        <v>-</v>
      </c>
      <c r="L13" s="170"/>
      <c r="M13" s="171"/>
      <c r="N13" s="21" t="str">
        <f>IF($M13="","-",
 IF($M13=リスト!$AA$3,残存簿価計算用!$DT13,
 IF($M13=リスト!$AA$4,残存簿価計算用!$DU13
)))</f>
        <v>-</v>
      </c>
      <c r="O13" s="178"/>
      <c r="P13" s="137"/>
      <c r="Q13" s="18" t="str">
        <f>IF(OR($O13="",$P13=""),"-",
  ROUNDDOWN(
   IF(OR($F13=リスト!$X$3,$F13=リスト!$X$5,$F13=リスト!$X$8),
     IF($G13*$P13/$O13&lt;=$P13,$G13*$P13/$O13,$P13),
     $N13*$P13/$O13),
   0
))</f>
        <v>-</v>
      </c>
      <c r="U13" s="124" t="str">
        <f>IF(OR($C13="",COUNTIF(取得財産等管理台帳!$D:$D, $C13) &gt; 0), "OK", "NG")</f>
        <v>OK</v>
      </c>
      <c r="V13" s="124" t="str">
        <f t="shared" si="1"/>
        <v>OK</v>
      </c>
      <c r="W13" s="124" t="str">
        <f t="shared" si="2"/>
        <v>OK</v>
      </c>
      <c r="X13" s="124"/>
      <c r="Y13" s="124" t="str">
        <f t="shared" si="3"/>
        <v>OK</v>
      </c>
      <c r="AA13" s="124" t="str">
        <f>IF(AND($G13&lt;&gt;"",$H13&lt;&gt;リスト!$Y$3),
   IF($G13=$N13,"=",IF($G13&gt;$N13,"&gt;","&lt;")),"-"
)</f>
        <v>-</v>
      </c>
      <c r="AB13" s="124" t="str">
        <f>IF(AND($G13&lt;&gt;"",$H13=リスト!$Y$3),
   IF($G13=$I13,"=",IF($G13&gt;$I13,"&gt;","&lt;")),"-"
)</f>
        <v>-</v>
      </c>
    </row>
    <row r="14" spans="2:28" ht="21.95">
      <c r="B14" s="19">
        <f t="shared" si="0"/>
        <v>9</v>
      </c>
      <c r="C14" s="154"/>
      <c r="D14" s="22" t="str">
        <f>IF(OR($C14="",財産処分承認申請用!$G12=""),"-",VLOOKUP($C14,財産処分承認申請用!$C$4:$I$23,2,0))</f>
        <v>-</v>
      </c>
      <c r="E14" s="129" t="str">
        <f>IF($C14="","-",VLOOKUP($C14,取得財産等管理台帳!$D$3:$M$22,10,0))</f>
        <v>-</v>
      </c>
      <c r="F14" s="46" t="str">
        <f>IF($C14="","-",VLOOKUP($C14,財産処分承認申請用!$C$4:$I$23,4,0))</f>
        <v>-</v>
      </c>
      <c r="G14" s="166"/>
      <c r="H14" s="47" t="str">
        <f>IF(OR($C14="",財産処分承認申請用!$G12=""),"-",VLOOKUP($C14,財産処分承認申請用!$C$4:$I$23,5,0))</f>
        <v>-</v>
      </c>
      <c r="I14" s="16" t="str">
        <f>IF(OR($C14="",財産処分承認申請用!$H12=""),"-",VLOOKUP($C14,財産処分承認申請用!$C$4:$I$23,6,0))</f>
        <v>-</v>
      </c>
      <c r="J14" s="16" t="str">
        <f>IF(OR($C14="",財産処分承認申請用!$H12=""),"-",VLOOKUP($C14,財産処分承認申請用!$C$4:$I$23,7,0))</f>
        <v>-</v>
      </c>
      <c r="K14" s="20" t="str">
        <f>IF($C14="","-",VLOOKUP($C14,取得財産等管理台帳!$D$3:$M$22,5,0))</f>
        <v>-</v>
      </c>
      <c r="L14" s="170"/>
      <c r="M14" s="171"/>
      <c r="N14" s="21" t="str">
        <f>IF($M14="","-",
 IF($M14=リスト!$AA$3,残存簿価計算用!$DT14,
 IF($M14=リスト!$AA$4,残存簿価計算用!$DU14
)))</f>
        <v>-</v>
      </c>
      <c r="O14" s="178"/>
      <c r="P14" s="137"/>
      <c r="Q14" s="18" t="str">
        <f>IF(OR($O14="",$P14=""),"-",
  ROUNDDOWN(
   IF(OR($F14=リスト!$X$3,$F14=リスト!$X$5,$F14=リスト!$X$8),
     IF($G14*$P14/$O14&lt;=$P14,$G14*$P14/$O14,$P14),
     $N14*$P14/$O14),
   0
))</f>
        <v>-</v>
      </c>
      <c r="U14" s="124" t="str">
        <f>IF(OR($C14="",COUNTIF(取得財産等管理台帳!$D:$D, $C14) &gt; 0), "OK", "NG")</f>
        <v>OK</v>
      </c>
      <c r="V14" s="124" t="str">
        <f t="shared" si="1"/>
        <v>OK</v>
      </c>
      <c r="W14" s="124" t="str">
        <f t="shared" si="2"/>
        <v>OK</v>
      </c>
      <c r="X14" s="124"/>
      <c r="Y14" s="124" t="str">
        <f t="shared" si="3"/>
        <v>OK</v>
      </c>
      <c r="AA14" s="124" t="str">
        <f>IF(AND($G14&lt;&gt;"",$H14&lt;&gt;リスト!$Y$3),
   IF($G14=$N14,"=",IF($G14&gt;$N14,"&gt;","&lt;")),"-"
)</f>
        <v>-</v>
      </c>
      <c r="AB14" s="124" t="str">
        <f>IF(AND($G14&lt;&gt;"",$H14=リスト!$Y$3),
   IF($G14=$I14,"=",IF($G14&gt;$I14,"&gt;","&lt;")),"-"
)</f>
        <v>-</v>
      </c>
    </row>
    <row r="15" spans="2:28" ht="21.95">
      <c r="B15" s="19">
        <f t="shared" si="0"/>
        <v>10</v>
      </c>
      <c r="C15" s="154"/>
      <c r="D15" s="22" t="str">
        <f>IF(OR($C15="",財産処分承認申請用!$G13=""),"-",VLOOKUP($C15,財産処分承認申請用!$C$4:$I$23,2,0))</f>
        <v>-</v>
      </c>
      <c r="E15" s="129" t="str">
        <f>IF($C15="","-",VLOOKUP($C15,取得財産等管理台帳!$D$3:$M$22,10,0))</f>
        <v>-</v>
      </c>
      <c r="F15" s="46" t="str">
        <f>IF($C15="","-",VLOOKUP($C15,財産処分承認申請用!$C$4:$I$23,4,0))</f>
        <v>-</v>
      </c>
      <c r="G15" s="166"/>
      <c r="H15" s="47" t="str">
        <f>IF(OR($C15="",財産処分承認申請用!$G13=""),"-",VLOOKUP($C15,財産処分承認申請用!$C$4:$I$23,5,0))</f>
        <v>-</v>
      </c>
      <c r="I15" s="16" t="str">
        <f>IF(OR($C15="",財産処分承認申請用!$H13=""),"-",VLOOKUP($C15,財産処分承認申請用!$C$4:$I$23,6,0))</f>
        <v>-</v>
      </c>
      <c r="J15" s="16" t="str">
        <f>IF(OR($C15="",財産処分承認申請用!$H13=""),"-",VLOOKUP($C15,財産処分承認申請用!$C$4:$I$23,7,0))</f>
        <v>-</v>
      </c>
      <c r="K15" s="20" t="str">
        <f>IF($C15="","-",VLOOKUP($C15,取得財産等管理台帳!$D$3:$M$22,5,0))</f>
        <v>-</v>
      </c>
      <c r="L15" s="170"/>
      <c r="M15" s="171"/>
      <c r="N15" s="21" t="str">
        <f>IF($M15="","-",
 IF($M15=リスト!$AA$3,残存簿価計算用!$DT15,
 IF($M15=リスト!$AA$4,残存簿価計算用!$DU15
)))</f>
        <v>-</v>
      </c>
      <c r="O15" s="178"/>
      <c r="P15" s="137"/>
      <c r="Q15" s="18" t="str">
        <f>IF(OR($O15="",$P15=""),"-",
  ROUNDDOWN(
   IF(OR($F15=リスト!$X$3,$F15=リスト!$X$5,$F15=リスト!$X$8),
     IF($G15*$P15/$O15&lt;=$P15,$G15*$P15/$O15,$P15),
     $N15*$P15/$O15),
   0
))</f>
        <v>-</v>
      </c>
      <c r="U15" s="124" t="str">
        <f>IF(OR($C15="",COUNTIF(取得財産等管理台帳!$D:$D, $C15) &gt; 0), "OK", "NG")</f>
        <v>OK</v>
      </c>
      <c r="V15" s="124" t="str">
        <f t="shared" si="1"/>
        <v>OK</v>
      </c>
      <c r="W15" s="124" t="str">
        <f t="shared" si="2"/>
        <v>OK</v>
      </c>
      <c r="X15" s="124"/>
      <c r="Y15" s="124" t="str">
        <f t="shared" si="3"/>
        <v>OK</v>
      </c>
      <c r="AA15" s="124" t="str">
        <f>IF(AND($G15&lt;&gt;"",$H15&lt;&gt;リスト!$Y$3),
   IF($G15=$N15,"=",IF($G15&gt;$N15,"&gt;","&lt;")),"-"
)</f>
        <v>-</v>
      </c>
      <c r="AB15" s="124" t="str">
        <f>IF(AND($G15&lt;&gt;"",$H15=リスト!$Y$3),
   IF($G15=$I15,"=",IF($G15&gt;$I15,"&gt;","&lt;")),"-"
)</f>
        <v>-</v>
      </c>
    </row>
    <row r="16" spans="2:28" ht="21.95">
      <c r="B16" s="19">
        <f t="shared" si="0"/>
        <v>11</v>
      </c>
      <c r="C16" s="154"/>
      <c r="D16" s="22" t="str">
        <f>IF(OR($C16="",財産処分承認申請用!$G14=""),"-",VLOOKUP($C16,財産処分承認申請用!$C$4:$I$23,2,0))</f>
        <v>-</v>
      </c>
      <c r="E16" s="129" t="str">
        <f>IF($C16="","-",VLOOKUP($C16,取得財産等管理台帳!$D$3:$M$22,10,0))</f>
        <v>-</v>
      </c>
      <c r="F16" s="46" t="str">
        <f>IF($C16="","-",VLOOKUP($C16,財産処分承認申請用!$C$4:$I$23,4,0))</f>
        <v>-</v>
      </c>
      <c r="G16" s="166"/>
      <c r="H16" s="47" t="str">
        <f>IF(OR($C16="",財産処分承認申請用!$G14=""),"-",VLOOKUP($C16,財産処分承認申請用!$C$4:$I$23,5,0))</f>
        <v>-</v>
      </c>
      <c r="I16" s="16" t="str">
        <f>IF(OR($C16="",財産処分承認申請用!$H14=""),"-",VLOOKUP($C16,財産処分承認申請用!$C$4:$I$23,6,0))</f>
        <v>-</v>
      </c>
      <c r="J16" s="16" t="str">
        <f>IF(OR($C16="",財産処分承認申請用!$H14=""),"-",VLOOKUP($C16,財産処分承認申請用!$C$4:$I$23,7,0))</f>
        <v>-</v>
      </c>
      <c r="K16" s="20" t="str">
        <f>IF($C16="","-",VLOOKUP($C16,取得財産等管理台帳!$D$3:$M$22,5,0))</f>
        <v>-</v>
      </c>
      <c r="L16" s="170"/>
      <c r="M16" s="171"/>
      <c r="N16" s="21" t="str">
        <f>IF($M16="","-",
 IF($M16=リスト!$AA$3,残存簿価計算用!$DT16,
 IF($M16=リスト!$AA$4,残存簿価計算用!$DU16
)))</f>
        <v>-</v>
      </c>
      <c r="O16" s="178"/>
      <c r="P16" s="137"/>
      <c r="Q16" s="18" t="str">
        <f>IF(OR($O16="",$P16=""),"-",
  ROUNDDOWN(
   IF(OR($F16=リスト!$X$3,$F16=リスト!$X$5,$F16=リスト!$X$8),
     IF($G16*$P16/$O16&lt;=$P16,$G16*$P16/$O16,$P16),
     $N16*$P16/$O16),
   0
))</f>
        <v>-</v>
      </c>
      <c r="U16" s="124" t="str">
        <f>IF(OR($C16="",COUNTIF(取得財産等管理台帳!$D:$D, $C16) &gt; 0), "OK", "NG")</f>
        <v>OK</v>
      </c>
      <c r="V16" s="124" t="str">
        <f t="shared" si="1"/>
        <v>OK</v>
      </c>
      <c r="W16" s="124" t="str">
        <f t="shared" si="2"/>
        <v>OK</v>
      </c>
      <c r="X16" s="124"/>
      <c r="Y16" s="124" t="str">
        <f t="shared" si="3"/>
        <v>OK</v>
      </c>
      <c r="AA16" s="124" t="str">
        <f>IF(AND($G16&lt;&gt;"",$H16&lt;&gt;リスト!$Y$3),
   IF($G16=$N16,"=",IF($G16&gt;$N16,"&gt;","&lt;")),"-"
)</f>
        <v>-</v>
      </c>
      <c r="AB16" s="124" t="str">
        <f>IF(AND($G16&lt;&gt;"",$H16=リスト!$Y$3),
   IF($G16=$I16,"=",IF($G16&gt;$I16,"&gt;","&lt;")),"-"
)</f>
        <v>-</v>
      </c>
    </row>
    <row r="17" spans="2:28" ht="21.95">
      <c r="B17" s="19">
        <f t="shared" si="0"/>
        <v>12</v>
      </c>
      <c r="C17" s="154"/>
      <c r="D17" s="22" t="str">
        <f>IF(OR($C17="",財産処分承認申請用!$G15=""),"-",VLOOKUP($C17,財産処分承認申請用!$C$4:$I$23,2,0))</f>
        <v>-</v>
      </c>
      <c r="E17" s="129" t="str">
        <f>IF($C17="","-",VLOOKUP($C17,取得財産等管理台帳!$D$3:$M$22,10,0))</f>
        <v>-</v>
      </c>
      <c r="F17" s="46" t="str">
        <f>IF($C17="","-",VLOOKUP($C17,財産処分承認申請用!$C$4:$I$23,4,0))</f>
        <v>-</v>
      </c>
      <c r="G17" s="166"/>
      <c r="H17" s="47" t="str">
        <f>IF(OR($C17="",財産処分承認申請用!$G15=""),"-",VLOOKUP($C17,財産処分承認申請用!$C$4:$I$23,5,0))</f>
        <v>-</v>
      </c>
      <c r="I17" s="16" t="str">
        <f>IF(OR($C17="",財産処分承認申請用!$H15=""),"-",VLOOKUP($C17,財産処分承認申請用!$C$4:$I$23,6,0))</f>
        <v>-</v>
      </c>
      <c r="J17" s="16" t="str">
        <f>IF(OR($C17="",財産処分承認申請用!$H15=""),"-",VLOOKUP($C17,財産処分承認申請用!$C$4:$I$23,7,0))</f>
        <v>-</v>
      </c>
      <c r="K17" s="20" t="str">
        <f>IF($C17="","-",VLOOKUP($C17,取得財産等管理台帳!$D$3:$M$22,5,0))</f>
        <v>-</v>
      </c>
      <c r="L17" s="170"/>
      <c r="M17" s="171"/>
      <c r="N17" s="21" t="str">
        <f>IF($M17="","-",
 IF($M17=リスト!$AA$3,残存簿価計算用!$DT17,
 IF($M17=リスト!$AA$4,残存簿価計算用!$DU17
)))</f>
        <v>-</v>
      </c>
      <c r="O17" s="178"/>
      <c r="P17" s="137"/>
      <c r="Q17" s="18" t="str">
        <f>IF(OR($O17="",$P17=""),"-",
  ROUNDDOWN(
   IF(OR($F17=リスト!$X$3,$F17=リスト!$X$5,$F17=リスト!$X$8),
     IF($G17*$P17/$O17&lt;=$P17,$G17*$P17/$O17,$P17),
     $N17*$P17/$O17),
   0
))</f>
        <v>-</v>
      </c>
      <c r="U17" s="124" t="str">
        <f>IF(OR($C17="",COUNTIF(取得財産等管理台帳!$D:$D, $C17) &gt; 0), "OK", "NG")</f>
        <v>OK</v>
      </c>
      <c r="V17" s="124" t="str">
        <f t="shared" si="1"/>
        <v>OK</v>
      </c>
      <c r="W17" s="124" t="str">
        <f t="shared" si="2"/>
        <v>OK</v>
      </c>
      <c r="X17" s="124"/>
      <c r="Y17" s="124" t="str">
        <f t="shared" si="3"/>
        <v>OK</v>
      </c>
      <c r="AA17" s="124" t="str">
        <f>IF(AND($G17&lt;&gt;"",$H17&lt;&gt;リスト!$Y$3),
   IF($G17=$N17,"=",IF($G17&gt;$N17,"&gt;","&lt;")),"-"
)</f>
        <v>-</v>
      </c>
      <c r="AB17" s="124" t="str">
        <f>IF(AND($G17&lt;&gt;"",$H17=リスト!$Y$3),
   IF($G17=$I17,"=",IF($G17&gt;$I17,"&gt;","&lt;")),"-"
)</f>
        <v>-</v>
      </c>
    </row>
    <row r="18" spans="2:28" ht="21.95">
      <c r="B18" s="19">
        <f t="shared" si="0"/>
        <v>13</v>
      </c>
      <c r="C18" s="154"/>
      <c r="D18" s="22" t="str">
        <f>IF(OR($C18="",財産処分承認申請用!$G16=""),"-",VLOOKUP($C18,財産処分承認申請用!$C$4:$I$23,2,0))</f>
        <v>-</v>
      </c>
      <c r="E18" s="129" t="str">
        <f>IF($C18="","-",VLOOKUP($C18,取得財産等管理台帳!$D$3:$M$22,10,0))</f>
        <v>-</v>
      </c>
      <c r="F18" s="46" t="str">
        <f>IF($C18="","-",VLOOKUP($C18,財産処分承認申請用!$C$4:$I$23,4,0))</f>
        <v>-</v>
      </c>
      <c r="G18" s="166"/>
      <c r="H18" s="47" t="str">
        <f>IF(OR($C18="",財産処分承認申請用!$G16=""),"-",VLOOKUP($C18,財産処分承認申請用!$C$4:$I$23,5,0))</f>
        <v>-</v>
      </c>
      <c r="I18" s="16" t="str">
        <f>IF(OR($C18="",財産処分承認申請用!$H16=""),"-",VLOOKUP($C18,財産処分承認申請用!$C$4:$I$23,6,0))</f>
        <v>-</v>
      </c>
      <c r="J18" s="16" t="str">
        <f>IF(OR($C18="",財産処分承認申請用!$H16=""),"-",VLOOKUP($C18,財産処分承認申請用!$C$4:$I$23,7,0))</f>
        <v>-</v>
      </c>
      <c r="K18" s="20" t="str">
        <f>IF($C18="","-",VLOOKUP($C18,取得財産等管理台帳!$D$3:$M$22,5,0))</f>
        <v>-</v>
      </c>
      <c r="L18" s="170"/>
      <c r="M18" s="171"/>
      <c r="N18" s="21" t="str">
        <f>IF($M18="","-",
 IF($M18=リスト!$AA$3,残存簿価計算用!$DT18,
 IF($M18=リスト!$AA$4,残存簿価計算用!$DU18
)))</f>
        <v>-</v>
      </c>
      <c r="O18" s="178"/>
      <c r="P18" s="137"/>
      <c r="Q18" s="18" t="str">
        <f>IF(OR($O18="",$P18=""),"-",
  ROUNDDOWN(
   IF(OR($F18=リスト!$X$3,$F18=リスト!$X$5,$F18=リスト!$X$8),
     IF($G18*$P18/$O18&lt;=$P18,$G18*$P18/$O18,$P18),
     $N18*$P18/$O18),
   0
))</f>
        <v>-</v>
      </c>
      <c r="U18" s="124" t="str">
        <f>IF(OR($C18="",COUNTIF(取得財産等管理台帳!$D:$D, $C18) &gt; 0), "OK", "NG")</f>
        <v>OK</v>
      </c>
      <c r="V18" s="124" t="str">
        <f t="shared" si="1"/>
        <v>OK</v>
      </c>
      <c r="W18" s="124" t="str">
        <f t="shared" si="2"/>
        <v>OK</v>
      </c>
      <c r="X18" s="124"/>
      <c r="Y18" s="124" t="str">
        <f t="shared" si="3"/>
        <v>OK</v>
      </c>
      <c r="AA18" s="124" t="str">
        <f>IF(AND($G18&lt;&gt;"",$H18&lt;&gt;リスト!$Y$3),
   IF($G18=$N18,"=",IF($G18&gt;$N18,"&gt;","&lt;")),"-"
)</f>
        <v>-</v>
      </c>
      <c r="AB18" s="124" t="str">
        <f>IF(AND($G18&lt;&gt;"",$H18=リスト!$Y$3),
   IF($G18=$I18,"=",IF($G18&gt;$I18,"&gt;","&lt;")),"-"
)</f>
        <v>-</v>
      </c>
    </row>
    <row r="19" spans="2:28" ht="21.95">
      <c r="B19" s="19">
        <f t="shared" si="0"/>
        <v>14</v>
      </c>
      <c r="C19" s="154"/>
      <c r="D19" s="22" t="str">
        <f>IF(OR($C19="",財産処分承認申請用!$G17=""),"-",VLOOKUP($C19,財産処分承認申請用!$C$4:$I$23,2,0))</f>
        <v>-</v>
      </c>
      <c r="E19" s="129" t="str">
        <f>IF($C19="","-",VLOOKUP($C19,取得財産等管理台帳!$D$3:$M$22,10,0))</f>
        <v>-</v>
      </c>
      <c r="F19" s="46" t="str">
        <f>IF($C19="","-",VLOOKUP($C19,財産処分承認申請用!$C$4:$I$23,4,0))</f>
        <v>-</v>
      </c>
      <c r="G19" s="166"/>
      <c r="H19" s="47" t="str">
        <f>IF(OR($C19="",財産処分承認申請用!$G17=""),"-",VLOOKUP($C19,財産処分承認申請用!$C$4:$I$23,5,0))</f>
        <v>-</v>
      </c>
      <c r="I19" s="16" t="str">
        <f>IF(OR($C19="",財産処分承認申請用!$H17=""),"-",VLOOKUP($C19,財産処分承認申請用!$C$4:$I$23,6,0))</f>
        <v>-</v>
      </c>
      <c r="J19" s="16" t="str">
        <f>IF(OR($C19="",財産処分承認申請用!$H17=""),"-",VLOOKUP($C19,財産処分承認申請用!$C$4:$I$23,7,0))</f>
        <v>-</v>
      </c>
      <c r="K19" s="20" t="str">
        <f>IF($C19="","-",VLOOKUP($C19,取得財産等管理台帳!$D$3:$M$22,5,0))</f>
        <v>-</v>
      </c>
      <c r="L19" s="170"/>
      <c r="M19" s="171"/>
      <c r="N19" s="21" t="str">
        <f>IF($M19="","-",
 IF($M19=リスト!$AA$3,残存簿価計算用!$DT19,
 IF($M19=リスト!$AA$4,残存簿価計算用!$DU19
)))</f>
        <v>-</v>
      </c>
      <c r="O19" s="178"/>
      <c r="P19" s="137"/>
      <c r="Q19" s="18" t="str">
        <f>IF(OR($O19="",$P19=""),"-",
  ROUNDDOWN(
   IF(OR($F19=リスト!$X$3,$F19=リスト!$X$5,$F19=リスト!$X$8),
     IF($G19*$P19/$O19&lt;=$P19,$G19*$P19/$O19,$P19),
     $N19*$P19/$O19),
   0
))</f>
        <v>-</v>
      </c>
      <c r="U19" s="124" t="str">
        <f>IF(OR($C19="",COUNTIF(取得財産等管理台帳!$D:$D, $C19) &gt; 0), "OK", "NG")</f>
        <v>OK</v>
      </c>
      <c r="V19" s="124" t="str">
        <f t="shared" si="1"/>
        <v>OK</v>
      </c>
      <c r="W19" s="124" t="str">
        <f t="shared" si="2"/>
        <v>OK</v>
      </c>
      <c r="X19" s="124"/>
      <c r="Y19" s="124" t="str">
        <f t="shared" si="3"/>
        <v>OK</v>
      </c>
      <c r="AA19" s="124" t="str">
        <f>IF(AND($G19&lt;&gt;"",$H19&lt;&gt;リスト!$Y$3),
   IF($G19=$N19,"=",IF($G19&gt;$N19,"&gt;","&lt;")),"-"
)</f>
        <v>-</v>
      </c>
      <c r="AB19" s="124" t="str">
        <f>IF(AND($G19&lt;&gt;"",$H19=リスト!$Y$3),
   IF($G19=$I19,"=",IF($G19&gt;$I19,"&gt;","&lt;")),"-"
)</f>
        <v>-</v>
      </c>
    </row>
    <row r="20" spans="2:28" ht="21.95">
      <c r="B20" s="19">
        <f t="shared" si="0"/>
        <v>15</v>
      </c>
      <c r="C20" s="154"/>
      <c r="D20" s="22" t="str">
        <f>IF(OR($C20="",財産処分承認申請用!$G18=""),"-",VLOOKUP($C20,財産処分承認申請用!$C$4:$I$23,2,0))</f>
        <v>-</v>
      </c>
      <c r="E20" s="129" t="str">
        <f>IF($C20="","-",VLOOKUP($C20,取得財産等管理台帳!$D$3:$M$22,10,0))</f>
        <v>-</v>
      </c>
      <c r="F20" s="46" t="str">
        <f>IF($C20="","-",VLOOKUP($C20,財産処分承認申請用!$C$4:$I$23,4,0))</f>
        <v>-</v>
      </c>
      <c r="G20" s="166"/>
      <c r="H20" s="47" t="str">
        <f>IF(OR($C20="",財産処分承認申請用!$G18=""),"-",VLOOKUP($C20,財産処分承認申請用!$C$4:$I$23,5,0))</f>
        <v>-</v>
      </c>
      <c r="I20" s="16" t="str">
        <f>IF(OR($C20="",財産処分承認申請用!$H18=""),"-",VLOOKUP($C20,財産処分承認申請用!$C$4:$I$23,6,0))</f>
        <v>-</v>
      </c>
      <c r="J20" s="16" t="str">
        <f>IF(OR($C20="",財産処分承認申請用!$H18=""),"-",VLOOKUP($C20,財産処分承認申請用!$C$4:$I$23,7,0))</f>
        <v>-</v>
      </c>
      <c r="K20" s="20" t="str">
        <f>IF($C20="","-",VLOOKUP($C20,取得財産等管理台帳!$D$3:$M$22,5,0))</f>
        <v>-</v>
      </c>
      <c r="L20" s="170"/>
      <c r="M20" s="171"/>
      <c r="N20" s="21" t="str">
        <f>IF($M20="","-",
 IF($M20=リスト!$AA$3,残存簿価計算用!$DT20,
 IF($M20=リスト!$AA$4,残存簿価計算用!$DU20
)))</f>
        <v>-</v>
      </c>
      <c r="O20" s="178"/>
      <c r="P20" s="137"/>
      <c r="Q20" s="18" t="str">
        <f>IF(OR($O20="",$P20=""),"-",
  ROUNDDOWN(
   IF(OR($F20=リスト!$X$3,$F20=リスト!$X$5,$F20=リスト!$X$8),
     IF($G20*$P20/$O20&lt;=$P20,$G20*$P20/$O20,$P20),
     $N20*$P20/$O20),
   0
))</f>
        <v>-</v>
      </c>
      <c r="U20" s="124" t="str">
        <f>IF(OR($C20="",COUNTIF(取得財産等管理台帳!$D:$D, $C20) &gt; 0), "OK", "NG")</f>
        <v>OK</v>
      </c>
      <c r="V20" s="124" t="str">
        <f t="shared" si="1"/>
        <v>OK</v>
      </c>
      <c r="W20" s="124" t="str">
        <f t="shared" si="2"/>
        <v>OK</v>
      </c>
      <c r="X20" s="124"/>
      <c r="Y20" s="124" t="str">
        <f t="shared" si="3"/>
        <v>OK</v>
      </c>
      <c r="AA20" s="124" t="str">
        <f>IF(AND($G20&lt;&gt;"",$H20&lt;&gt;リスト!$Y$3),
   IF($G20=$N20,"=",IF($G20&gt;$N20,"&gt;","&lt;")),"-"
)</f>
        <v>-</v>
      </c>
      <c r="AB20" s="124" t="str">
        <f>IF(AND($G20&lt;&gt;"",$H20=リスト!$Y$3),
   IF($G20=$I20,"=",IF($G20&gt;$I20,"&gt;","&lt;")),"-"
)</f>
        <v>-</v>
      </c>
    </row>
    <row r="21" spans="2:28" ht="21.95">
      <c r="B21" s="19">
        <f t="shared" si="0"/>
        <v>16</v>
      </c>
      <c r="C21" s="154"/>
      <c r="D21" s="22" t="str">
        <f>IF(OR($C21="",財産処分承認申請用!$G19=""),"-",VLOOKUP($C21,財産処分承認申請用!$C$4:$I$23,2,0))</f>
        <v>-</v>
      </c>
      <c r="E21" s="129" t="str">
        <f>IF($C21="","-",VLOOKUP($C21,取得財産等管理台帳!$D$3:$M$22,10,0))</f>
        <v>-</v>
      </c>
      <c r="F21" s="46" t="str">
        <f>IF($C21="","-",VLOOKUP($C21,財産処分承認申請用!$C$4:$I$23,4,0))</f>
        <v>-</v>
      </c>
      <c r="G21" s="166"/>
      <c r="H21" s="47" t="str">
        <f>IF(OR($C21="",財産処分承認申請用!$G19=""),"-",VLOOKUP($C21,財産処分承認申請用!$C$4:$I$23,5,0))</f>
        <v>-</v>
      </c>
      <c r="I21" s="16" t="str">
        <f>IF(OR($C21="",財産処分承認申請用!$H19=""),"-",VLOOKUP($C21,財産処分承認申請用!$C$4:$I$23,6,0))</f>
        <v>-</v>
      </c>
      <c r="J21" s="16" t="str">
        <f>IF(OR($C21="",財産処分承認申請用!$H19=""),"-",VLOOKUP($C21,財産処分承認申請用!$C$4:$I$23,7,0))</f>
        <v>-</v>
      </c>
      <c r="K21" s="20" t="str">
        <f>IF($C21="","-",VLOOKUP($C21,取得財産等管理台帳!$D$3:$M$22,5,0))</f>
        <v>-</v>
      </c>
      <c r="L21" s="170"/>
      <c r="M21" s="171"/>
      <c r="N21" s="21" t="str">
        <f>IF($M21="","-",
 IF($M21=リスト!$AA$3,残存簿価計算用!$DT21,
 IF($M21=リスト!$AA$4,残存簿価計算用!$DU21
)))</f>
        <v>-</v>
      </c>
      <c r="O21" s="178"/>
      <c r="P21" s="137"/>
      <c r="Q21" s="18" t="str">
        <f>IF(OR($O21="",$P21=""),"-",
  ROUNDDOWN(
   IF(OR($F21=リスト!$X$3,$F21=リスト!$X$5,$F21=リスト!$X$8),
     IF($G21*$P21/$O21&lt;=$P21,$G21*$P21/$O21,$P21),
     $N21*$P21/$O21),
   0
))</f>
        <v>-</v>
      </c>
      <c r="U21" s="124" t="str">
        <f>IF(OR($C21="",COUNTIF(取得財産等管理台帳!$D:$D, $C21) &gt; 0), "OK", "NG")</f>
        <v>OK</v>
      </c>
      <c r="V21" s="124" t="str">
        <f t="shared" si="1"/>
        <v>OK</v>
      </c>
      <c r="W21" s="124" t="str">
        <f t="shared" si="2"/>
        <v>OK</v>
      </c>
      <c r="X21" s="124"/>
      <c r="Y21" s="124" t="str">
        <f t="shared" si="3"/>
        <v>OK</v>
      </c>
      <c r="AA21" s="124" t="str">
        <f>IF(AND($G21&lt;&gt;"",$H21&lt;&gt;リスト!$Y$3),
   IF($G21=$N21,"=",IF($G21&gt;$N21,"&gt;","&lt;")),"-"
)</f>
        <v>-</v>
      </c>
      <c r="AB21" s="124" t="str">
        <f>IF(AND($G21&lt;&gt;"",$H21=リスト!$Y$3),
   IF($G21=$I21,"=",IF($G21&gt;$I21,"&gt;","&lt;")),"-"
)</f>
        <v>-</v>
      </c>
    </row>
    <row r="22" spans="2:28" ht="21.95">
      <c r="B22" s="19">
        <f t="shared" si="0"/>
        <v>17</v>
      </c>
      <c r="C22" s="154"/>
      <c r="D22" s="22" t="str">
        <f>IF(OR($C22="",財産処分承認申請用!$G20=""),"-",VLOOKUP($C22,財産処分承認申請用!$C$4:$I$23,2,0))</f>
        <v>-</v>
      </c>
      <c r="E22" s="129" t="str">
        <f>IF($C22="","-",VLOOKUP($C22,取得財産等管理台帳!$D$3:$M$22,10,0))</f>
        <v>-</v>
      </c>
      <c r="F22" s="46" t="str">
        <f>IF($C22="","-",VLOOKUP($C22,財産処分承認申請用!$C$4:$I$23,4,0))</f>
        <v>-</v>
      </c>
      <c r="G22" s="166"/>
      <c r="H22" s="47" t="str">
        <f>IF(OR($C22="",財産処分承認申請用!$G20=""),"-",VLOOKUP($C22,財産処分承認申請用!$C$4:$I$23,5,0))</f>
        <v>-</v>
      </c>
      <c r="I22" s="16" t="str">
        <f>IF(OR($C22="",財産処分承認申請用!$H20=""),"-",VLOOKUP($C22,財産処分承認申請用!$C$4:$I$23,6,0))</f>
        <v>-</v>
      </c>
      <c r="J22" s="16" t="str">
        <f>IF(OR($C22="",財産処分承認申請用!$H20=""),"-",VLOOKUP($C22,財産処分承認申請用!$C$4:$I$23,7,0))</f>
        <v>-</v>
      </c>
      <c r="K22" s="20" t="str">
        <f>IF($C22="","-",VLOOKUP($C22,取得財産等管理台帳!$D$3:$M$22,5,0))</f>
        <v>-</v>
      </c>
      <c r="L22" s="170"/>
      <c r="M22" s="171"/>
      <c r="N22" s="21" t="str">
        <f>IF($M22="","-",
 IF($M22=リスト!$AA$3,残存簿価計算用!$DT22,
 IF($M22=リスト!$AA$4,残存簿価計算用!$DU22
)))</f>
        <v>-</v>
      </c>
      <c r="O22" s="178"/>
      <c r="P22" s="137"/>
      <c r="Q22" s="18" t="str">
        <f>IF(OR($O22="",$P22=""),"-",
  ROUNDDOWN(
   IF(OR($F22=リスト!$X$3,$F22=リスト!$X$5,$F22=リスト!$X$8),
     IF($G22*$P22/$O22&lt;=$P22,$G22*$P22/$O22,$P22),
     $N22*$P22/$O22),
   0
))</f>
        <v>-</v>
      </c>
      <c r="U22" s="124" t="str">
        <f>IF(OR($C22="",COUNTIF(取得財産等管理台帳!$D:$D, $C22) &gt; 0), "OK", "NG")</f>
        <v>OK</v>
      </c>
      <c r="V22" s="124" t="str">
        <f t="shared" si="1"/>
        <v>OK</v>
      </c>
      <c r="W22" s="124" t="str">
        <f t="shared" si="2"/>
        <v>OK</v>
      </c>
      <c r="X22" s="124"/>
      <c r="Y22" s="124" t="str">
        <f t="shared" si="3"/>
        <v>OK</v>
      </c>
      <c r="AA22" s="124" t="str">
        <f>IF(AND($G22&lt;&gt;"",$H22&lt;&gt;リスト!$Y$3),
   IF($G22=$N22,"=",IF($G22&gt;$N22,"&gt;","&lt;")),"-"
)</f>
        <v>-</v>
      </c>
      <c r="AB22" s="124" t="str">
        <f>IF(AND($G22&lt;&gt;"",$H22=リスト!$Y$3),
   IF($G22=$I22,"=",IF($G22&gt;$I22,"&gt;","&lt;")),"-"
)</f>
        <v>-</v>
      </c>
    </row>
    <row r="23" spans="2:28" ht="21.95">
      <c r="B23" s="19">
        <f t="shared" si="0"/>
        <v>18</v>
      </c>
      <c r="C23" s="154"/>
      <c r="D23" s="22" t="str">
        <f>IF(OR($C23="",財産処分承認申請用!$G21=""),"-",VLOOKUP($C23,財産処分承認申請用!$C$4:$I$23,2,0))</f>
        <v>-</v>
      </c>
      <c r="E23" s="129" t="str">
        <f>IF($C23="","-",VLOOKUP($C23,取得財産等管理台帳!$D$3:$M$22,10,0))</f>
        <v>-</v>
      </c>
      <c r="F23" s="46" t="str">
        <f>IF($C23="","-",VLOOKUP($C23,財産処分承認申請用!$C$4:$I$23,4,0))</f>
        <v>-</v>
      </c>
      <c r="G23" s="166"/>
      <c r="H23" s="47" t="str">
        <f>IF(OR($C23="",財産処分承認申請用!$G21=""),"-",VLOOKUP($C23,財産処分承認申請用!$C$4:$I$23,5,0))</f>
        <v>-</v>
      </c>
      <c r="I23" s="16" t="str">
        <f>IF(OR($C23="",財産処分承認申請用!$H21=""),"-",VLOOKUP($C23,財産処分承認申請用!$C$4:$I$23,6,0))</f>
        <v>-</v>
      </c>
      <c r="J23" s="16" t="str">
        <f>IF(OR($C23="",財産処分承認申請用!$H21=""),"-",VLOOKUP($C23,財産処分承認申請用!$C$4:$I$23,7,0))</f>
        <v>-</v>
      </c>
      <c r="K23" s="20" t="str">
        <f>IF($C23="","-",VLOOKUP($C23,取得財産等管理台帳!$D$3:$M$22,5,0))</f>
        <v>-</v>
      </c>
      <c r="L23" s="170"/>
      <c r="M23" s="171"/>
      <c r="N23" s="21" t="str">
        <f>IF($M23="","-",
 IF($M23=リスト!$AA$3,残存簿価計算用!$DT23,
 IF($M23=リスト!$AA$4,残存簿価計算用!$DU23
)))</f>
        <v>-</v>
      </c>
      <c r="O23" s="178"/>
      <c r="P23" s="137"/>
      <c r="Q23" s="18" t="str">
        <f>IF(OR($O23="",$P23=""),"-",
  ROUNDDOWN(
   IF(OR($F23=リスト!$X$3,$F23=リスト!$X$5,$F23=リスト!$X$8),
     IF($G23*$P23/$O23&lt;=$P23,$G23*$P23/$O23,$P23),
     $N23*$P23/$O23),
   0
))</f>
        <v>-</v>
      </c>
      <c r="U23" s="124" t="str">
        <f>IF(OR($C23="",COUNTIF(取得財産等管理台帳!$D:$D, $C23) &gt; 0), "OK", "NG")</f>
        <v>OK</v>
      </c>
      <c r="V23" s="124" t="str">
        <f t="shared" si="1"/>
        <v>OK</v>
      </c>
      <c r="W23" s="124" t="str">
        <f t="shared" si="2"/>
        <v>OK</v>
      </c>
      <c r="X23" s="124"/>
      <c r="Y23" s="124" t="str">
        <f t="shared" si="3"/>
        <v>OK</v>
      </c>
      <c r="AA23" s="124" t="str">
        <f>IF(AND($G23&lt;&gt;"",$H23&lt;&gt;リスト!$Y$3),
   IF($G23=$N23,"=",IF($G23&gt;$N23,"&gt;","&lt;")),"-"
)</f>
        <v>-</v>
      </c>
      <c r="AB23" s="124" t="str">
        <f>IF(AND($G23&lt;&gt;"",$H23=リスト!$Y$3),
   IF($G23=$I23,"=",IF($G23&gt;$I23,"&gt;","&lt;")),"-"
)</f>
        <v>-</v>
      </c>
    </row>
    <row r="24" spans="2:28" ht="21.95">
      <c r="B24" s="19">
        <f t="shared" si="0"/>
        <v>19</v>
      </c>
      <c r="C24" s="154"/>
      <c r="D24" s="22" t="str">
        <f>IF(OR($C24="",財産処分承認申請用!$G22=""),"-",VLOOKUP($C24,財産処分承認申請用!$C$4:$I$23,2,0))</f>
        <v>-</v>
      </c>
      <c r="E24" s="129" t="str">
        <f>IF($C24="","-",VLOOKUP($C24,取得財産等管理台帳!$D$3:$M$22,10,0))</f>
        <v>-</v>
      </c>
      <c r="F24" s="46" t="str">
        <f>IF($C24="","-",VLOOKUP($C24,財産処分承認申請用!$C$4:$I$23,4,0))</f>
        <v>-</v>
      </c>
      <c r="G24" s="166"/>
      <c r="H24" s="47" t="str">
        <f>IF(OR($C24="",財産処分承認申請用!$G22=""),"-",VLOOKUP($C24,財産処分承認申請用!$C$4:$I$23,5,0))</f>
        <v>-</v>
      </c>
      <c r="I24" s="16" t="str">
        <f>IF(OR($C24="",財産処分承認申請用!$H22=""),"-",VLOOKUP($C24,財産処分承認申請用!$C$4:$I$23,6,0))</f>
        <v>-</v>
      </c>
      <c r="J24" s="16" t="str">
        <f>IF(OR($C24="",財産処分承認申請用!$H22=""),"-",VLOOKUP($C24,財産処分承認申請用!$C$4:$I$23,7,0))</f>
        <v>-</v>
      </c>
      <c r="K24" s="20" t="str">
        <f>IF($C24="","-",VLOOKUP($C24,取得財産等管理台帳!$D$3:$M$22,5,0))</f>
        <v>-</v>
      </c>
      <c r="L24" s="170"/>
      <c r="M24" s="171"/>
      <c r="N24" s="21" t="str">
        <f>IF($M24="","-",
 IF($M24=リスト!$AA$3,残存簿価計算用!$DT24,
 IF($M24=リスト!$AA$4,残存簿価計算用!$DU24
)))</f>
        <v>-</v>
      </c>
      <c r="O24" s="178"/>
      <c r="P24" s="137"/>
      <c r="Q24" s="18" t="str">
        <f>IF(OR($O24="",$P24=""),"-",
  ROUNDDOWN(
   IF(OR($F24=リスト!$X$3,$F24=リスト!$X$5,$F24=リスト!$X$8),
     IF($G24*$P24/$O24&lt;=$P24,$G24*$P24/$O24,$P24),
     $N24*$P24/$O24),
   0
))</f>
        <v>-</v>
      </c>
      <c r="U24" s="124" t="str">
        <f>IF(OR($C24="",COUNTIF(取得財産等管理台帳!$D:$D, $C24) &gt; 0), "OK", "NG")</f>
        <v>OK</v>
      </c>
      <c r="V24" s="124" t="str">
        <f t="shared" si="1"/>
        <v>OK</v>
      </c>
      <c r="W24" s="124" t="str">
        <f t="shared" si="2"/>
        <v>OK</v>
      </c>
      <c r="X24" s="124"/>
      <c r="Y24" s="124" t="str">
        <f t="shared" si="3"/>
        <v>OK</v>
      </c>
      <c r="AA24" s="124" t="str">
        <f>IF(AND($G24&lt;&gt;"",$H24&lt;&gt;リスト!$Y$3),
   IF($G24=$N24,"=",IF($G24&gt;$N24,"&gt;","&lt;")),"-"
)</f>
        <v>-</v>
      </c>
      <c r="AB24" s="124" t="str">
        <f>IF(AND($G24&lt;&gt;"",$H24=リスト!$Y$3),
   IF($G24=$I24,"=",IF($G24&gt;$I24,"&gt;","&lt;")),"-"
)</f>
        <v>-</v>
      </c>
    </row>
    <row r="25" spans="2:28" ht="22.5" thickBot="1">
      <c r="B25" s="19">
        <f t="shared" si="0"/>
        <v>20</v>
      </c>
      <c r="C25" s="155"/>
      <c r="D25" s="22" t="str">
        <f>IF(OR($C25="",財産処分承認申請用!$G23=""),"-",VLOOKUP($C25,財産処分承認申請用!$C$4:$I$23,2,0))</f>
        <v>-</v>
      </c>
      <c r="E25" s="129" t="str">
        <f>IF($C25="","-",VLOOKUP($C25,取得財産等管理台帳!$D$3:$M$22,10,0))</f>
        <v>-</v>
      </c>
      <c r="F25" s="46" t="str">
        <f>IF($C25="","-",VLOOKUP($C25,財産処分承認申請用!$C$4:$I$23,4,0))</f>
        <v>-</v>
      </c>
      <c r="G25" s="167"/>
      <c r="H25" s="47" t="str">
        <f>IF(OR($C25="",財産処分承認申請用!$G23=""),"-",VLOOKUP($C25,財産処分承認申請用!$C$4:$I$23,5,0))</f>
        <v>-</v>
      </c>
      <c r="I25" s="16" t="str">
        <f>IF(OR($C25="",財産処分承認申請用!$H23=""),"-",VLOOKUP($C25,財産処分承認申請用!$C$4:$I$23,6,0))</f>
        <v>-</v>
      </c>
      <c r="J25" s="16" t="str">
        <f>IF(OR($C25="",財産処分承認申請用!$H23=""),"-",VLOOKUP($C25,財産処分承認申請用!$C$4:$I$23,7,0))</f>
        <v>-</v>
      </c>
      <c r="K25" s="20" t="str">
        <f>IF($C25="","-",VLOOKUP($C25,取得財産等管理台帳!$D$3:$M$22,5,0))</f>
        <v>-</v>
      </c>
      <c r="L25" s="172"/>
      <c r="M25" s="173"/>
      <c r="N25" s="21" t="str">
        <f>IF($M25="","-",
 IF($M25=リスト!$AA$3,残存簿価計算用!$DT25,
 IF($M25=リスト!$AA$4,残存簿価計算用!$DU25
)))</f>
        <v>-</v>
      </c>
      <c r="O25" s="179"/>
      <c r="P25" s="140"/>
      <c r="Q25" s="18" t="str">
        <f>IF(OR($O25="",$P25=""),"-",
  ROUNDDOWN(
   IF(OR($F25=リスト!$X$3,$F25=リスト!$X$5,$F25=リスト!$X$8),
     IF($G25*$P25/$O25&lt;=$P25,$G25*$P25/$O25,$P25),
     $N25*$P25/$O25),
   0
))</f>
        <v>-</v>
      </c>
      <c r="U25" s="124" t="str">
        <f>IF(OR($C25="",COUNTIF(取得財産等管理台帳!$D:$D, $C25) &gt; 0), "OK", "NG")</f>
        <v>OK</v>
      </c>
      <c r="V25" s="124" t="str">
        <f t="shared" si="1"/>
        <v>OK</v>
      </c>
      <c r="W25" s="124" t="str">
        <f t="shared" si="2"/>
        <v>OK</v>
      </c>
      <c r="X25" s="124"/>
      <c r="Y25" s="124" t="str">
        <f t="shared" si="3"/>
        <v>OK</v>
      </c>
      <c r="AA25" s="124" t="str">
        <f>IF(AND($G25&lt;&gt;"",$H25&lt;&gt;リスト!$Y$3),
   IF($G25=$N25,"=",IF($G25&gt;$N25,"&gt;","&lt;")),"-"
)</f>
        <v>-</v>
      </c>
      <c r="AB25" s="124" t="str">
        <f>IF(AND($G25&lt;&gt;"",$H25=リスト!$Y$3),
   IF($G25=$I25,"=",IF($G25&gt;$I25,"&gt;","&lt;")),"-"
)</f>
        <v>-</v>
      </c>
    </row>
    <row r="26" spans="2:28" ht="22.5" thickTop="1">
      <c r="B26" s="25" t="s">
        <v>148</v>
      </c>
      <c r="C26" s="26"/>
      <c r="D26" s="26"/>
      <c r="E26" s="27"/>
      <c r="F26" s="37"/>
      <c r="G26" s="31">
        <f>SUM($G$6:$G$25)</f>
        <v>0</v>
      </c>
      <c r="H26" s="37"/>
      <c r="I26" s="36"/>
      <c r="J26" s="35"/>
      <c r="K26" s="28"/>
      <c r="L26" s="29"/>
      <c r="M26" s="30"/>
      <c r="N26" s="37"/>
      <c r="O26" s="30"/>
      <c r="P26" s="32"/>
      <c r="Q26" s="31">
        <f>SUM($Q$6:$Q$25)</f>
        <v>0</v>
      </c>
    </row>
    <row r="28" spans="2:28">
      <c r="B28" s="4" t="s">
        <v>127</v>
      </c>
      <c r="C28" s="5" t="s">
        <v>149</v>
      </c>
      <c r="D28" s="5"/>
      <c r="E28" s="5"/>
    </row>
    <row r="30" spans="2:28">
      <c r="L30" s="24"/>
    </row>
  </sheetData>
  <sheetProtection algorithmName="SHA-512" hashValue="d+YNx0UYc5jp4Vbcy4SY26QUXYfwbUPWcl4Bg8KYxNcOgLwpKEY9CY+5DQdqFXAEqdO1I3VHsH/+7RD+dwhm+A==" saltValue="HT3xNIiBqOxYDvJAYvqP1g==" spinCount="100000" sheet="1" objects="1" scenarios="1" selectLockedCells="1"/>
  <phoneticPr fontId="2"/>
  <dataValidations count="1">
    <dataValidation type="list" allowBlank="1" showInputMessage="1" showErrorMessage="1" sqref="L3" xr:uid="{11D6BE26-D496-44F0-90E4-AA7A28DC8AA9}">
      <formula1>INDIRECT("_"&amp;$K$3)</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3256559C-A3AA-47E4-93C4-D6E0844CB1DC}">
          <x14:formula1>
            <xm:f>リスト!$AA$3:$AA$4</xm:f>
          </x14:formula1>
          <xm:sqref>M6:M26</xm:sqref>
        </x14:dataValidation>
        <x14:dataValidation type="list" allowBlank="1" showInputMessage="1" showErrorMessage="1" xr:uid="{EA1F9D05-BAC9-4E48-8F5A-8671533E61D2}">
          <x14:formula1>
            <xm:f>リスト!$AE$3:$AE$5</xm:f>
          </x14:formula1>
          <xm:sqref>M3</xm:sqref>
        </x14:dataValidation>
        <x14:dataValidation type="list" allowBlank="1" showInputMessage="1" showErrorMessage="1" xr:uid="{192D409D-4159-4EF0-B94D-35A27DF7F894}">
          <x14:formula1>
            <xm:f>リスト!$AB$3:$AB$14</xm:f>
          </x14:formula1>
          <xm:sqref>K3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FAB7C-A9CC-4340-9C03-775BAB02A9E4}">
  <dimension ref="B2:AB30"/>
  <sheetViews>
    <sheetView showGridLines="0" zoomScaleNormal="100" workbookViewId="0">
      <selection activeCell="C6" sqref="C6"/>
    </sheetView>
  </sheetViews>
  <sheetFormatPr defaultColWidth="9.109375" defaultRowHeight="15"/>
  <cols>
    <col min="1" max="1" width="2.44140625" style="2" customWidth="1"/>
    <col min="2" max="2" width="6.88671875" style="2" customWidth="1"/>
    <col min="3" max="3" width="47.77734375" style="2" customWidth="1"/>
    <col min="4" max="4" width="10.33203125" style="2" customWidth="1"/>
    <col min="5" max="5" width="13" style="2" customWidth="1"/>
    <col min="6" max="6" width="50.109375" style="2" customWidth="1"/>
    <col min="7" max="7" width="34" style="2" customWidth="1"/>
    <col min="8" max="8" width="19" style="2" customWidth="1"/>
    <col min="9" max="10" width="34" style="2" customWidth="1"/>
    <col min="11" max="12" width="19" style="2" customWidth="1"/>
    <col min="13" max="13" width="18" style="2" customWidth="1"/>
    <col min="14" max="17" width="34" style="2" customWidth="1"/>
    <col min="18" max="18" width="3.109375" style="2" customWidth="1"/>
    <col min="19" max="19" width="11.44140625" style="2" customWidth="1"/>
    <col min="20" max="20" width="3.109375" style="2" customWidth="1"/>
    <col min="21" max="16384" width="9.109375" style="2"/>
  </cols>
  <sheetData>
    <row r="2" spans="2:28" ht="54.6" thickBot="1">
      <c r="C2" s="48"/>
      <c r="D2" s="48"/>
      <c r="E2" s="49"/>
      <c r="F2" s="48"/>
      <c r="G2" s="48"/>
      <c r="H2" s="48"/>
      <c r="I2" s="38"/>
      <c r="K2" s="23" t="s">
        <v>154</v>
      </c>
      <c r="L2" s="23" t="s">
        <v>155</v>
      </c>
      <c r="M2" s="23" t="s">
        <v>156</v>
      </c>
      <c r="S2" s="3" t="s">
        <v>120</v>
      </c>
      <c r="U2" s="124" t="s">
        <v>140</v>
      </c>
      <c r="V2" s="124" t="s">
        <v>141</v>
      </c>
      <c r="W2" s="124" t="s">
        <v>121</v>
      </c>
      <c r="X2" s="124" t="s">
        <v>122</v>
      </c>
      <c r="Y2" s="124" t="s">
        <v>158</v>
      </c>
      <c r="AA2" s="130" t="s">
        <v>159</v>
      </c>
      <c r="AB2" s="130" t="s">
        <v>160</v>
      </c>
    </row>
    <row r="3" spans="2:28" ht="23.1" thickTop="1" thickBot="1">
      <c r="C3" s="50"/>
      <c r="D3" s="50"/>
      <c r="E3" s="49"/>
      <c r="F3" s="50"/>
      <c r="G3" s="50"/>
      <c r="H3" s="50"/>
      <c r="I3" s="39"/>
      <c r="K3" s="174"/>
      <c r="L3" s="175"/>
      <c r="M3" s="176"/>
      <c r="S3" s="123" t="str">
        <f>IF(COUNTIF(U3:Y25,"NG")&gt;0,"NG","OK")</f>
        <v>NG</v>
      </c>
      <c r="U3" s="124" t="s">
        <v>161</v>
      </c>
      <c r="V3" s="124" t="s">
        <v>161</v>
      </c>
      <c r="W3" s="124" t="s">
        <v>161</v>
      </c>
      <c r="X3" s="124" t="str">
        <f>IF(
  AND($K3&lt;&gt;"",$L3&lt;&gt;"",$M3&lt;&gt;""),"OK","NG"
)</f>
        <v>NG</v>
      </c>
      <c r="Y3" s="124" t="s">
        <v>161</v>
      </c>
      <c r="AA3" s="124" t="s">
        <v>161</v>
      </c>
      <c r="AB3" s="124" t="s">
        <v>161</v>
      </c>
    </row>
    <row r="4" spans="2:28" ht="15.6" thickTop="1">
      <c r="U4" s="124"/>
      <c r="V4" s="124"/>
      <c r="W4" s="124"/>
      <c r="X4" s="124"/>
      <c r="Y4" s="124"/>
      <c r="AA4" s="124"/>
      <c r="AB4" s="124"/>
    </row>
    <row r="5" spans="2:28" ht="44.45" thickBot="1">
      <c r="B5" s="3" t="s">
        <v>106</v>
      </c>
      <c r="C5" s="7" t="s">
        <v>142</v>
      </c>
      <c r="D5" s="7" t="s">
        <v>143</v>
      </c>
      <c r="E5" s="7" t="s">
        <v>162</v>
      </c>
      <c r="F5" s="8" t="s">
        <v>138</v>
      </c>
      <c r="G5" s="8" t="s">
        <v>163</v>
      </c>
      <c r="H5" s="8" t="s">
        <v>145</v>
      </c>
      <c r="I5" s="44" t="s">
        <v>146</v>
      </c>
      <c r="J5" s="8" t="s">
        <v>164</v>
      </c>
      <c r="K5" s="8" t="s">
        <v>144</v>
      </c>
      <c r="L5" s="8" t="s">
        <v>165</v>
      </c>
      <c r="M5" s="8" t="s">
        <v>166</v>
      </c>
      <c r="N5" s="8" t="s">
        <v>167</v>
      </c>
      <c r="O5" s="8" t="s">
        <v>168</v>
      </c>
      <c r="P5" s="8" t="s">
        <v>169</v>
      </c>
      <c r="Q5" s="8" t="s">
        <v>170</v>
      </c>
      <c r="U5" s="124"/>
      <c r="V5" s="124"/>
      <c r="W5" s="124"/>
      <c r="X5" s="124"/>
      <c r="Y5" s="124"/>
      <c r="AA5" s="124"/>
      <c r="AB5" s="124"/>
    </row>
    <row r="6" spans="2:28" ht="22.5" thickTop="1">
      <c r="B6" s="19">
        <f>ROW()-ROW($B$5)</f>
        <v>1</v>
      </c>
      <c r="C6" s="153"/>
      <c r="D6" s="148"/>
      <c r="E6" s="125" t="str">
        <f>IF($C6="","-",VLOOKUP($C6,取得財産等管理台帳!$D$3:$M$22,10,0))</f>
        <v>-</v>
      </c>
      <c r="F6" s="180"/>
      <c r="G6" s="181"/>
      <c r="H6" s="182"/>
      <c r="I6" s="183"/>
      <c r="J6" s="126" t="str">
        <f>IF(OR($C6="",$D6=""),"-",VLOOKUP($C6,取得財産等管理台帳!$D$3:$M$22,3,0)*$D6)</f>
        <v>-</v>
      </c>
      <c r="K6" s="20" t="str">
        <f>IF($C6="","-",VLOOKUP($C6,取得財産等管理台帳!$D$3:$M$22,5,0))</f>
        <v>-</v>
      </c>
      <c r="L6" s="168"/>
      <c r="M6" s="169"/>
      <c r="N6" s="21" t="str">
        <f>IF($M6="","-",
 IF($M6=リスト!$AA$3,残存簿価計算用!$DT6,
 IF($M6=リスト!$AA$4,残存簿価計算用!$DU6
)))</f>
        <v>-</v>
      </c>
      <c r="O6" s="177"/>
      <c r="P6" s="134"/>
      <c r="Q6" s="18" t="str">
        <f>IF(OR($O6="",$P6=""),"-",
  ROUNDDOWN(
   IF(OR($F6=リスト!$X$3,$F6=リスト!$X$5,$F6=リスト!$X$8),
     IF($G6*$P6/$O6&lt;=$P6,$G6*$P6/$O6,$P6),
     $N6*$P6/$O6),
   0
))</f>
        <v>-</v>
      </c>
      <c r="U6" s="124" t="str">
        <f>IF(OR($C6="",COUNTIF(取得財産等管理台帳!$D:$D, $C6) &gt; 0), "OK", "NG")</f>
        <v>OK</v>
      </c>
      <c r="V6" s="124" t="str">
        <f>IF(OR($C6="",$D6=""),"OK",
  IF($D6&lt;=VLOOKUP($C6,取得財産等管理台帳!$D$3:$E$22,2,0), "OK",
 "NG")
)</f>
        <v>OK</v>
      </c>
      <c r="W6" s="124" t="str">
        <f>IF(
  AND(
    OR($D6="", IF(ISNUMBER($D6), AND($D6&gt;0, $D6=INT($D6)), FALSE)),
    OR($G6="", IF(ISNUMBER($G6), AND($G6&gt;0, $G6=INT($G6)), FALSE)),
    OR($I6="", IF(ISNUMBER($I6), AND($I6&gt;0, $I6=INT($I6)), FALSE)),
    OR($O6="", IF(ISNUMBER($O6), AND($O6&gt;0, $O6=INT($O6)), FALSE)),
    OR($P6="", IF(ISNUMBER($P6), AND($P6&gt;0, $P6=INT($P6)), FALSE)),
    OR($L6="", AND(ISNUMBER($L6), $L6&gt;=DATE(2025,7,15), $L6&lt;=DATE(2075,12,31)))
  ),
  "OK","NG"
)</f>
        <v>OK</v>
      </c>
      <c r="X6" s="124" t="str">
        <f>IF(
  OR(
    $C6="",
    AND($C6&lt;&gt;"",$D6&lt;&gt;"",$F6&lt;&gt;"",$G6&lt;&gt;"",IF(OR($F6=リスト!$X$3,$F6=リスト!$X$5),AND($H6&lt;&gt;"",$I6&lt;&gt;""),TRUE),$L6&lt;&gt;"",$M6&lt;&gt;"",$O6&lt;&gt;"",$P6&lt;&gt;"")
  ),
  "OK","NG"
)</f>
        <v>OK</v>
      </c>
      <c r="Y6" s="124" t="str">
        <f>IF(
  OR($L6="", $L6&gt;=$K6),
  "OK","NG"
)</f>
        <v>OK</v>
      </c>
      <c r="AA6" s="124" t="str">
        <f>IF(AND($G6&lt;&gt;"",$H6&lt;&gt;"",$H6&lt;&gt;リスト!$Y$3),
   IF($G6=$N6,"=",IF($G6&gt;$N6,"&gt;","&lt;")),"-"
)</f>
        <v>-</v>
      </c>
      <c r="AB6" s="124" t="str">
        <f>IF(AND($G6&lt;&gt;"",$H6&lt;&gt;"",$I6&lt;&gt;"",$H6=リスト!$Y$3),
   IF($G6=$I6,"=",IF($G6&gt;$I6,"&gt;","&lt;")),"-"
)</f>
        <v>-</v>
      </c>
    </row>
    <row r="7" spans="2:28" ht="21.95">
      <c r="B7" s="19">
        <f t="shared" ref="B7:B25" si="0">ROW()-ROW($B$5)</f>
        <v>2</v>
      </c>
      <c r="C7" s="154"/>
      <c r="D7" s="150"/>
      <c r="E7" s="125" t="str">
        <f>IF($C7="","-",VLOOKUP($C7,取得財産等管理台帳!$D$3:$M$22,10,0))</f>
        <v>-</v>
      </c>
      <c r="F7" s="184"/>
      <c r="G7" s="185"/>
      <c r="H7" s="186"/>
      <c r="I7" s="187"/>
      <c r="J7" s="126" t="str">
        <f>IF(OR($C7="",$D7=""),"-",VLOOKUP($C7,取得財産等管理台帳!$D$3:$M$22,3,0)*$D7)</f>
        <v>-</v>
      </c>
      <c r="K7" s="20" t="str">
        <f>IF($C7="","-",VLOOKUP($C7,取得財産等管理台帳!$D$3:$M$22,5,0))</f>
        <v>-</v>
      </c>
      <c r="L7" s="170"/>
      <c r="M7" s="171"/>
      <c r="N7" s="21" t="str">
        <f>IF($M7="","-",
 IF($M7=リスト!$AA$3,残存簿価計算用!$DT7,
 IF($M7=リスト!$AA$4,残存簿価計算用!$DU7
)))</f>
        <v>-</v>
      </c>
      <c r="O7" s="178"/>
      <c r="P7" s="137"/>
      <c r="Q7" s="18" t="str">
        <f>IF(OR($O7="",$P7=""),"-",
  ROUNDDOWN(
   IF(OR($F7=リスト!$X$3,$F7=リスト!$X$5,$F7=リスト!$X$8),
     IF($G7*$P7/$O7&lt;=$P7,$G7*$P7/$O7,$P7),
     $N7*$P7/$O7),
   0
))</f>
        <v>-</v>
      </c>
      <c r="U7" s="124" t="str">
        <f>IF(OR($C7="",COUNTIF(取得財産等管理台帳!$D:$D, $C7) &gt; 0), "OK", "NG")</f>
        <v>OK</v>
      </c>
      <c r="V7" s="124" t="str">
        <f>IF(OR($C7="",$D7=""),"OK",
  IF($D7&lt;=VLOOKUP($C7,取得財産等管理台帳!$D$3:$E$22,2,0), "OK",
 "NG")
)</f>
        <v>OK</v>
      </c>
      <c r="W7" s="124" t="str">
        <f t="shared" ref="W7:W25" si="1">IF(
  AND(
    OR($D7="", IF(ISNUMBER($D7), AND($D7&gt;0, $D7=INT($D7)), FALSE)),
    OR($G7="", IF(ISNUMBER($G7), AND($G7&gt;0, $G7=INT($G7)), FALSE)),
    OR($I7="", IF(ISNUMBER($I7), AND($I7&gt;0, $I7=INT($I7)), FALSE)),
    OR($O7="", IF(ISNUMBER($O7), AND($O7&gt;0, $O7=INT($O7)), FALSE)),
    OR($P7="", IF(ISNUMBER($P7), AND($P7&gt;0, $P7=INT($P7)), FALSE)),
    OR($L7="", AND(ISNUMBER($L7), $L7&gt;=DATE(2025,7,15), $L7&lt;=DATE(2075,12,31)))
  ),
  "OK","NG"
)</f>
        <v>OK</v>
      </c>
      <c r="X7" s="124" t="str">
        <f>IF(
  OR(
    $C7="",
    AND($C7&lt;&gt;"",$D7&lt;&gt;"",$F7&lt;&gt;"",$G7&lt;&gt;"",IF(OR($F7=リスト!$X$3,$F7=リスト!$X$5),AND($H7&lt;&gt;"",$I7&lt;&gt;""),TRUE),$L7&lt;&gt;"",$M7&lt;&gt;"",$O7&lt;&gt;"",$P7&lt;&gt;"")
  ),
  "OK","NG"
)</f>
        <v>OK</v>
      </c>
      <c r="Y7" s="124" t="str">
        <f t="shared" ref="Y7:Y25" si="2">IF(
  OR($L7="", $L7&gt;=$K7),
  "OK","NG"
)</f>
        <v>OK</v>
      </c>
      <c r="AA7" s="124" t="str">
        <f>IF(AND($G7&lt;&gt;"",$H7&lt;&gt;"",$H7&lt;&gt;リスト!$Y$3),
   IF($G7=$N7,"=",IF($G7&gt;$N7,"&gt;","&lt;")),"-"
)</f>
        <v>-</v>
      </c>
      <c r="AB7" s="124" t="str">
        <f>IF(AND($G7&lt;&gt;"",$H7&lt;&gt;"",$I7&lt;&gt;"",$H7=リスト!$Y$3),
   IF($G7=$I7,"=",IF($G7&gt;$I7,"&gt;","&lt;")),"-"
)</f>
        <v>-</v>
      </c>
    </row>
    <row r="8" spans="2:28" ht="21.95">
      <c r="B8" s="19">
        <f t="shared" si="0"/>
        <v>3</v>
      </c>
      <c r="C8" s="154"/>
      <c r="D8" s="150"/>
      <c r="E8" s="125" t="str">
        <f>IF($C8="","-",VLOOKUP($C8,取得財産等管理台帳!$D$3:$M$22,10,0))</f>
        <v>-</v>
      </c>
      <c r="F8" s="184"/>
      <c r="G8" s="185"/>
      <c r="H8" s="186"/>
      <c r="I8" s="187"/>
      <c r="J8" s="126" t="str">
        <f>IF(OR($C8="",$D8=""),"-",VLOOKUP($C8,取得財産等管理台帳!$D$3:$M$22,3,0)*$D8)</f>
        <v>-</v>
      </c>
      <c r="K8" s="20" t="str">
        <f>IF($C8="","-",VLOOKUP($C8,取得財産等管理台帳!$D$3:$M$22,5,0))</f>
        <v>-</v>
      </c>
      <c r="L8" s="170"/>
      <c r="M8" s="171"/>
      <c r="N8" s="21" t="str">
        <f>IF($M8="","-",
 IF($M8=リスト!$AA$3,残存簿価計算用!$DT8,
 IF($M8=リスト!$AA$4,残存簿価計算用!$DU8
)))</f>
        <v>-</v>
      </c>
      <c r="O8" s="178"/>
      <c r="P8" s="137"/>
      <c r="Q8" s="18" t="str">
        <f>IF(OR($O8="",$P8=""),"-",
  ROUNDDOWN(
   IF(OR($F8=リスト!$X$3,$F8=リスト!$X$5,$F8=リスト!$X$8),
     IF($G8*$P8/$O8&lt;=$P8,$G8*$P8/$O8,$P8),
     $N8*$P8/$O8),
   0
))</f>
        <v>-</v>
      </c>
      <c r="U8" s="124" t="str">
        <f>IF(OR($C8="",COUNTIF(取得財産等管理台帳!$D:$D, $C8) &gt; 0), "OK", "NG")</f>
        <v>OK</v>
      </c>
      <c r="V8" s="124" t="str">
        <f>IF(OR($C8="",$D8=""),"OK",
  IF($D8&lt;=VLOOKUP($C8,取得財産等管理台帳!$D$3:$E$22,2,0), "OK",
 "NG")
)</f>
        <v>OK</v>
      </c>
      <c r="W8" s="124" t="str">
        <f t="shared" si="1"/>
        <v>OK</v>
      </c>
      <c r="X8" s="124" t="str">
        <f>IF(
  OR(
    $C8="",
    AND($C8&lt;&gt;"",$D8&lt;&gt;"",$F8&lt;&gt;"",$G8&lt;&gt;"",IF(OR($F8=リスト!$X$3,$F8=リスト!$X$5),AND($H8&lt;&gt;"",$I8&lt;&gt;""),TRUE),$L8&lt;&gt;"",$M8&lt;&gt;"",$O8&lt;&gt;"",$P8&lt;&gt;"")
  ),
  "OK","NG"
)</f>
        <v>OK</v>
      </c>
      <c r="Y8" s="124" t="str">
        <f t="shared" si="2"/>
        <v>OK</v>
      </c>
      <c r="AA8" s="124" t="str">
        <f>IF(AND($G8&lt;&gt;"",$H8&lt;&gt;"",$H8&lt;&gt;リスト!$Y$3),
   IF($G8=$N8,"=",IF($G8&gt;$N8,"&gt;","&lt;")),"-"
)</f>
        <v>-</v>
      </c>
      <c r="AB8" s="124" t="str">
        <f>IF(AND($G8&lt;&gt;"",$H8&lt;&gt;"",$I8&lt;&gt;"",$H8=リスト!$Y$3),
   IF($G8=$I8,"=",IF($G8&gt;$I8,"&gt;","&lt;")),"-"
)</f>
        <v>-</v>
      </c>
    </row>
    <row r="9" spans="2:28" ht="21.95">
      <c r="B9" s="19">
        <f t="shared" si="0"/>
        <v>4</v>
      </c>
      <c r="C9" s="154"/>
      <c r="D9" s="150"/>
      <c r="E9" s="125" t="str">
        <f>IF($C9="","-",VLOOKUP($C9,取得財産等管理台帳!$D$3:$M$22,10,0))</f>
        <v>-</v>
      </c>
      <c r="F9" s="184"/>
      <c r="G9" s="185"/>
      <c r="H9" s="186"/>
      <c r="I9" s="187"/>
      <c r="J9" s="126" t="str">
        <f>IF(OR($C9="",$D9=""),"-",VLOOKUP($C9,取得財産等管理台帳!$D$3:$M$22,3,0)*$D9)</f>
        <v>-</v>
      </c>
      <c r="K9" s="20" t="str">
        <f>IF($C9="","-",VLOOKUP($C9,取得財産等管理台帳!$D$3:$M$22,5,0))</f>
        <v>-</v>
      </c>
      <c r="L9" s="170"/>
      <c r="M9" s="171"/>
      <c r="N9" s="21" t="str">
        <f>IF($M9="","-",
 IF($M9=リスト!$AA$3,残存簿価計算用!$DT9,
 IF($M9=リスト!$AA$4,残存簿価計算用!$DU9
)))</f>
        <v>-</v>
      </c>
      <c r="O9" s="178"/>
      <c r="P9" s="137"/>
      <c r="Q9" s="18" t="str">
        <f>IF(OR($O9="",$P9=""),"-",
  ROUNDDOWN(
   IF(OR($F9=リスト!$X$3,$F9=リスト!$X$5,$F9=リスト!$X$8),
     IF($G9*$P9/$O9&lt;=$P9,$G9*$P9/$O9,$P9),
     $N9*$P9/$O9),
   0
))</f>
        <v>-</v>
      </c>
      <c r="U9" s="124" t="str">
        <f>IF(OR($C9="",COUNTIF(取得財産等管理台帳!$D:$D, $C9) &gt; 0), "OK", "NG")</f>
        <v>OK</v>
      </c>
      <c r="V9" s="124" t="str">
        <f>IF(OR($C9="",$D9=""),"OK",
  IF($D9&lt;=VLOOKUP($C9,取得財産等管理台帳!$D$3:$E$22,2,0), "OK",
 "NG")
)</f>
        <v>OK</v>
      </c>
      <c r="W9" s="124" t="str">
        <f t="shared" si="1"/>
        <v>OK</v>
      </c>
      <c r="X9" s="124" t="str">
        <f>IF(
  OR(
    $C9="",
    AND($C9&lt;&gt;"",$D9&lt;&gt;"",$F9&lt;&gt;"",$G9&lt;&gt;"",IF(OR($F9=リスト!$X$3,$F9=リスト!$X$5),AND($H9&lt;&gt;"",$I9&lt;&gt;""),TRUE),$L9&lt;&gt;"",$M9&lt;&gt;"",$O9&lt;&gt;"",$P9&lt;&gt;"")
  ),
  "OK","NG"
)</f>
        <v>OK</v>
      </c>
      <c r="Y9" s="124" t="str">
        <f t="shared" si="2"/>
        <v>OK</v>
      </c>
      <c r="AA9" s="124" t="str">
        <f>IF(AND($G9&lt;&gt;"",$H9&lt;&gt;"",$H9&lt;&gt;リスト!$Y$3),
   IF($G9=$N9,"=",IF($G9&gt;$N9,"&gt;","&lt;")),"-"
)</f>
        <v>-</v>
      </c>
      <c r="AB9" s="124" t="str">
        <f>IF(AND($G9&lt;&gt;"",$H9&lt;&gt;"",$I9&lt;&gt;"",$H9=リスト!$Y$3),
   IF($G9=$I9,"=",IF($G9&gt;$I9,"&gt;","&lt;")),"-"
)</f>
        <v>-</v>
      </c>
    </row>
    <row r="10" spans="2:28" ht="21.95">
      <c r="B10" s="19">
        <f t="shared" si="0"/>
        <v>5</v>
      </c>
      <c r="C10" s="154"/>
      <c r="D10" s="150"/>
      <c r="E10" s="125" t="str">
        <f>IF($C10="","-",VLOOKUP($C10,取得財産等管理台帳!$D$3:$M$22,10,0))</f>
        <v>-</v>
      </c>
      <c r="F10" s="184"/>
      <c r="G10" s="185"/>
      <c r="H10" s="186"/>
      <c r="I10" s="187"/>
      <c r="J10" s="126" t="str">
        <f>IF(OR($C10="",$D10=""),"-",VLOOKUP($C10,取得財産等管理台帳!$D$3:$M$22,3,0)*$D10)</f>
        <v>-</v>
      </c>
      <c r="K10" s="20" t="str">
        <f>IF($C10="","-",VLOOKUP($C10,取得財産等管理台帳!$D$3:$M$22,5,0))</f>
        <v>-</v>
      </c>
      <c r="L10" s="170"/>
      <c r="M10" s="171"/>
      <c r="N10" s="21" t="str">
        <f>IF($M10="","-",
 IF($M10=リスト!$AA$3,残存簿価計算用!$DT10,
 IF($M10=リスト!$AA$4,残存簿価計算用!$DU10
)))</f>
        <v>-</v>
      </c>
      <c r="O10" s="178"/>
      <c r="P10" s="137"/>
      <c r="Q10" s="18" t="str">
        <f>IF(OR($O10="",$P10=""),"-",
  ROUNDDOWN(
   IF(OR($F10=リスト!$X$3,$F10=リスト!$X$5,$F10=リスト!$X$8),
     IF($G10*$P10/$O10&lt;=$P10,$G10*$P10/$O10,$P10),
     $N10*$P10/$O10),
   0
))</f>
        <v>-</v>
      </c>
      <c r="U10" s="124" t="str">
        <f>IF(OR($C10="",COUNTIF(取得財産等管理台帳!$D:$D, $C10) &gt; 0), "OK", "NG")</f>
        <v>OK</v>
      </c>
      <c r="V10" s="124" t="str">
        <f>IF(OR($C10="",$D10=""),"OK",
  IF($D10&lt;=VLOOKUP($C10,取得財産等管理台帳!$D$3:$E$22,2,0), "OK",
 "NG")
)</f>
        <v>OK</v>
      </c>
      <c r="W10" s="124" t="str">
        <f t="shared" si="1"/>
        <v>OK</v>
      </c>
      <c r="X10" s="124" t="str">
        <f>IF(
  OR(
    $C10="",
    AND($C10&lt;&gt;"",$D10&lt;&gt;"",$F10&lt;&gt;"",$G10&lt;&gt;"",IF(OR($F10=リスト!$X$3,$F10=リスト!$X$5),AND($H10&lt;&gt;"",$I10&lt;&gt;""),TRUE),$L10&lt;&gt;"",$M10&lt;&gt;"",$O10&lt;&gt;"",$P10&lt;&gt;"")
  ),
  "OK","NG"
)</f>
        <v>OK</v>
      </c>
      <c r="Y10" s="124" t="str">
        <f t="shared" si="2"/>
        <v>OK</v>
      </c>
      <c r="AA10" s="124" t="str">
        <f>IF(AND($G10&lt;&gt;"",$H10&lt;&gt;"",$H10&lt;&gt;リスト!$Y$3),
   IF($G10=$N10,"=",IF($G10&gt;$N10,"&gt;","&lt;")),"-"
)</f>
        <v>-</v>
      </c>
      <c r="AB10" s="124" t="str">
        <f>IF(AND($G10&lt;&gt;"",$H10&lt;&gt;"",$I10&lt;&gt;"",$H10=リスト!$Y$3),
   IF($G10=$I10,"=",IF($G10&gt;$I10,"&gt;","&lt;")),"-"
)</f>
        <v>-</v>
      </c>
    </row>
    <row r="11" spans="2:28" ht="21.95">
      <c r="B11" s="19">
        <f t="shared" si="0"/>
        <v>6</v>
      </c>
      <c r="C11" s="154"/>
      <c r="D11" s="150"/>
      <c r="E11" s="125" t="str">
        <f>IF($C11="","-",VLOOKUP($C11,取得財産等管理台帳!$D$3:$M$22,10,0))</f>
        <v>-</v>
      </c>
      <c r="F11" s="184"/>
      <c r="G11" s="185"/>
      <c r="H11" s="186"/>
      <c r="I11" s="187"/>
      <c r="J11" s="126" t="str">
        <f>IF(OR($C11="",$D11=""),"-",VLOOKUP($C11,取得財産等管理台帳!$D$3:$M$22,3,0)*$D11)</f>
        <v>-</v>
      </c>
      <c r="K11" s="20" t="str">
        <f>IF($C11="","-",VLOOKUP($C11,取得財産等管理台帳!$D$3:$M$22,5,0))</f>
        <v>-</v>
      </c>
      <c r="L11" s="170"/>
      <c r="M11" s="171"/>
      <c r="N11" s="21" t="str">
        <f>IF($M11="","-",
 IF($M11=リスト!$AA$3,残存簿価計算用!$DT11,
 IF($M11=リスト!$AA$4,残存簿価計算用!$DU11
)))</f>
        <v>-</v>
      </c>
      <c r="O11" s="178"/>
      <c r="P11" s="137"/>
      <c r="Q11" s="18" t="str">
        <f>IF(OR($O11="",$P11=""),"-",
  ROUNDDOWN(
   IF(OR($F11=リスト!$X$3,$F11=リスト!$X$5,$F11=リスト!$X$8),
     IF($G11*$P11/$O11&lt;=$P11,$G11*$P11/$O11,$P11),
     $N11*$P11/$O11),
   0
))</f>
        <v>-</v>
      </c>
      <c r="U11" s="124" t="str">
        <f>IF(OR($C11="",COUNTIF(取得財産等管理台帳!$D:$D, $C11) &gt; 0), "OK", "NG")</f>
        <v>OK</v>
      </c>
      <c r="V11" s="124" t="str">
        <f>IF(OR($C11="",$D11=""),"OK",
  IF($D11&lt;=VLOOKUP($C11,取得財産等管理台帳!$D$3:$E$22,2,0), "OK",
 "NG")
)</f>
        <v>OK</v>
      </c>
      <c r="W11" s="124" t="str">
        <f t="shared" si="1"/>
        <v>OK</v>
      </c>
      <c r="X11" s="124" t="str">
        <f>IF(
  OR(
    $C11="",
    AND($C11&lt;&gt;"",$D11&lt;&gt;"",$F11&lt;&gt;"",$G11&lt;&gt;"",IF(OR($F11=リスト!$X$3,$F11=リスト!$X$5),AND($H11&lt;&gt;"",$I11&lt;&gt;""),TRUE),$L11&lt;&gt;"",$M11&lt;&gt;"",$O11&lt;&gt;"",$P11&lt;&gt;"")
  ),
  "OK","NG"
)</f>
        <v>OK</v>
      </c>
      <c r="Y11" s="124" t="str">
        <f t="shared" si="2"/>
        <v>OK</v>
      </c>
      <c r="AA11" s="124" t="str">
        <f>IF(AND($G11&lt;&gt;"",$H11&lt;&gt;"",$H11&lt;&gt;リスト!$Y$3),
   IF($G11=$N11,"=",IF($G11&gt;$N11,"&gt;","&lt;")),"-"
)</f>
        <v>-</v>
      </c>
      <c r="AB11" s="124" t="str">
        <f>IF(AND($G11&lt;&gt;"",$H11&lt;&gt;"",$I11&lt;&gt;"",$H11=リスト!$Y$3),
   IF($G11=$I11,"=",IF($G11&gt;$I11,"&gt;","&lt;")),"-"
)</f>
        <v>-</v>
      </c>
    </row>
    <row r="12" spans="2:28" ht="21.95">
      <c r="B12" s="19">
        <f t="shared" si="0"/>
        <v>7</v>
      </c>
      <c r="C12" s="154"/>
      <c r="D12" s="150"/>
      <c r="E12" s="125" t="str">
        <f>IF($C12="","-",VLOOKUP($C12,取得財産等管理台帳!$D$3:$M$22,10,0))</f>
        <v>-</v>
      </c>
      <c r="F12" s="184"/>
      <c r="G12" s="185"/>
      <c r="H12" s="186"/>
      <c r="I12" s="187"/>
      <c r="J12" s="126" t="str">
        <f>IF(OR($C12="",$D12=""),"-",VLOOKUP($C12,取得財産等管理台帳!$D$3:$M$22,3,0)*$D12)</f>
        <v>-</v>
      </c>
      <c r="K12" s="20" t="str">
        <f>IF($C12="","-",VLOOKUP($C12,取得財産等管理台帳!$D$3:$M$22,5,0))</f>
        <v>-</v>
      </c>
      <c r="L12" s="170"/>
      <c r="M12" s="171"/>
      <c r="N12" s="21" t="str">
        <f>IF($M12="","-",
 IF($M12=リスト!$AA$3,残存簿価計算用!$DT12,
 IF($M12=リスト!$AA$4,残存簿価計算用!$DU12
)))</f>
        <v>-</v>
      </c>
      <c r="O12" s="178"/>
      <c r="P12" s="137"/>
      <c r="Q12" s="18" t="str">
        <f>IF(OR($O12="",$P12=""),"-",
  ROUNDDOWN(
   IF(OR($F12=リスト!$X$3,$F12=リスト!$X$5,$F12=リスト!$X$8),
     IF($G12*$P12/$O12&lt;=$P12,$G12*$P12/$O12,$P12),
     $N12*$P12/$O12),
   0
))</f>
        <v>-</v>
      </c>
      <c r="U12" s="124" t="str">
        <f>IF(OR($C12="",COUNTIF(取得財産等管理台帳!$D:$D, $C12) &gt; 0), "OK", "NG")</f>
        <v>OK</v>
      </c>
      <c r="V12" s="124" t="str">
        <f>IF(OR($C12="",$D12=""),"OK",
  IF($D12&lt;=VLOOKUP($C12,取得財産等管理台帳!$D$3:$E$22,2,0), "OK",
 "NG")
)</f>
        <v>OK</v>
      </c>
      <c r="W12" s="124" t="str">
        <f t="shared" si="1"/>
        <v>OK</v>
      </c>
      <c r="X12" s="124" t="str">
        <f>IF(
  OR(
    $C12="",
    AND($C12&lt;&gt;"",$D12&lt;&gt;"",$F12&lt;&gt;"",$G12&lt;&gt;"",IF(OR($F12=リスト!$X$3,$F12=リスト!$X$5),AND($H12&lt;&gt;"",$I12&lt;&gt;""),TRUE),$L12&lt;&gt;"",$M12&lt;&gt;"",$O12&lt;&gt;"",$P12&lt;&gt;"")
  ),
  "OK","NG"
)</f>
        <v>OK</v>
      </c>
      <c r="Y12" s="124" t="str">
        <f t="shared" si="2"/>
        <v>OK</v>
      </c>
      <c r="AA12" s="124" t="str">
        <f>IF(AND($G12&lt;&gt;"",$H12&lt;&gt;"",$H12&lt;&gt;リスト!$Y$3),
   IF($G12=$N12,"=",IF($G12&gt;$N12,"&gt;","&lt;")),"-"
)</f>
        <v>-</v>
      </c>
      <c r="AB12" s="124" t="str">
        <f>IF(AND($G12&lt;&gt;"",$H12&lt;&gt;"",$I12&lt;&gt;"",$H12=リスト!$Y$3),
   IF($G12=$I12,"=",IF($G12&gt;$I12,"&gt;","&lt;")),"-"
)</f>
        <v>-</v>
      </c>
    </row>
    <row r="13" spans="2:28" ht="21.95">
      <c r="B13" s="19">
        <f t="shared" si="0"/>
        <v>8</v>
      </c>
      <c r="C13" s="154"/>
      <c r="D13" s="150"/>
      <c r="E13" s="125" t="str">
        <f>IF($C13="","-",VLOOKUP($C13,取得財産等管理台帳!$D$3:$M$22,10,0))</f>
        <v>-</v>
      </c>
      <c r="F13" s="184"/>
      <c r="G13" s="185"/>
      <c r="H13" s="186"/>
      <c r="I13" s="187"/>
      <c r="J13" s="126" t="str">
        <f>IF(OR($C13="",$D13=""),"-",VLOOKUP($C13,取得財産等管理台帳!$D$3:$M$22,3,0)*$D13)</f>
        <v>-</v>
      </c>
      <c r="K13" s="20" t="str">
        <f>IF($C13="","-",VLOOKUP($C13,取得財産等管理台帳!$D$3:$M$22,5,0))</f>
        <v>-</v>
      </c>
      <c r="L13" s="170"/>
      <c r="M13" s="171"/>
      <c r="N13" s="21" t="str">
        <f>IF($M13="","-",
 IF($M13=リスト!$AA$3,残存簿価計算用!$DT13,
 IF($M13=リスト!$AA$4,残存簿価計算用!$DU13
)))</f>
        <v>-</v>
      </c>
      <c r="O13" s="178"/>
      <c r="P13" s="137"/>
      <c r="Q13" s="18" t="str">
        <f>IF(OR($O13="",$P13=""),"-",
  ROUNDDOWN(
   IF(OR($F13=リスト!$X$3,$F13=リスト!$X$5,$F13=リスト!$X$8),
     IF($G13*$P13/$O13&lt;=$P13,$G13*$P13/$O13,$P13),
     $N13*$P13/$O13),
   0
))</f>
        <v>-</v>
      </c>
      <c r="U13" s="124" t="str">
        <f>IF(OR($C13="",COUNTIF(取得財産等管理台帳!$D:$D, $C13) &gt; 0), "OK", "NG")</f>
        <v>OK</v>
      </c>
      <c r="V13" s="124" t="str">
        <f>IF(OR($C13="",$D13=""),"OK",
  IF($D13&lt;=VLOOKUP($C13,取得財産等管理台帳!$D$3:$E$22,2,0), "OK",
 "NG")
)</f>
        <v>OK</v>
      </c>
      <c r="W13" s="124" t="str">
        <f t="shared" si="1"/>
        <v>OK</v>
      </c>
      <c r="X13" s="124" t="str">
        <f>IF(
  OR(
    $C13="",
    AND($C13&lt;&gt;"",$D13&lt;&gt;"",$F13&lt;&gt;"",$G13&lt;&gt;"",IF(OR($F13=リスト!$X$3,$F13=リスト!$X$5),AND($H13&lt;&gt;"",$I13&lt;&gt;""),TRUE),$L13&lt;&gt;"",$M13&lt;&gt;"",$O13&lt;&gt;"",$P13&lt;&gt;"")
  ),
  "OK","NG"
)</f>
        <v>OK</v>
      </c>
      <c r="Y13" s="124" t="str">
        <f t="shared" si="2"/>
        <v>OK</v>
      </c>
      <c r="AA13" s="124" t="str">
        <f>IF(AND($G13&lt;&gt;"",$H13&lt;&gt;"",$H13&lt;&gt;リスト!$Y$3),
   IF($G13=$N13,"=",IF($G13&gt;$N13,"&gt;","&lt;")),"-"
)</f>
        <v>-</v>
      </c>
      <c r="AB13" s="124" t="str">
        <f>IF(AND($G13&lt;&gt;"",$H13&lt;&gt;"",$I13&lt;&gt;"",$H13=リスト!$Y$3),
   IF($G13=$I13,"=",IF($G13&gt;$I13,"&gt;","&lt;")),"-"
)</f>
        <v>-</v>
      </c>
    </row>
    <row r="14" spans="2:28" ht="21.95">
      <c r="B14" s="19">
        <f t="shared" si="0"/>
        <v>9</v>
      </c>
      <c r="C14" s="154"/>
      <c r="D14" s="150"/>
      <c r="E14" s="125" t="str">
        <f>IF($C14="","-",VLOOKUP($C14,取得財産等管理台帳!$D$3:$M$22,10,0))</f>
        <v>-</v>
      </c>
      <c r="F14" s="184"/>
      <c r="G14" s="185"/>
      <c r="H14" s="186"/>
      <c r="I14" s="187"/>
      <c r="J14" s="126" t="str">
        <f>IF(OR($C14="",$D14=""),"-",VLOOKUP($C14,取得財産等管理台帳!$D$3:$M$22,3,0)*$D14)</f>
        <v>-</v>
      </c>
      <c r="K14" s="20" t="str">
        <f>IF($C14="","-",VLOOKUP($C14,取得財産等管理台帳!$D$3:$M$22,5,0))</f>
        <v>-</v>
      </c>
      <c r="L14" s="170"/>
      <c r="M14" s="171"/>
      <c r="N14" s="21" t="str">
        <f>IF($M14="","-",
 IF($M14=リスト!$AA$3,残存簿価計算用!$DT14,
 IF($M14=リスト!$AA$4,残存簿価計算用!$DU14
)))</f>
        <v>-</v>
      </c>
      <c r="O14" s="178"/>
      <c r="P14" s="137"/>
      <c r="Q14" s="18" t="str">
        <f>IF(OR($O14="",$P14=""),"-",
  ROUNDDOWN(
   IF(OR($F14=リスト!$X$3,$F14=リスト!$X$5,$F14=リスト!$X$8),
     IF($G14*$P14/$O14&lt;=$P14,$G14*$P14/$O14,$P14),
     $N14*$P14/$O14),
   0
))</f>
        <v>-</v>
      </c>
      <c r="U14" s="124" t="str">
        <f>IF(OR($C14="",COUNTIF(取得財産等管理台帳!$D:$D, $C14) &gt; 0), "OK", "NG")</f>
        <v>OK</v>
      </c>
      <c r="V14" s="124" t="str">
        <f>IF(OR($C14="",$D14=""),"OK",
  IF($D14&lt;=VLOOKUP($C14,取得財産等管理台帳!$D$3:$E$22,2,0), "OK",
 "NG")
)</f>
        <v>OK</v>
      </c>
      <c r="W14" s="124" t="str">
        <f t="shared" si="1"/>
        <v>OK</v>
      </c>
      <c r="X14" s="124" t="str">
        <f>IF(
  OR(
    $C14="",
    AND($C14&lt;&gt;"",$D14&lt;&gt;"",$F14&lt;&gt;"",$G14&lt;&gt;"",IF(OR($F14=リスト!$X$3,$F14=リスト!$X$5),AND($H14&lt;&gt;"",$I14&lt;&gt;""),TRUE),$L14&lt;&gt;"",$M14&lt;&gt;"",$O14&lt;&gt;"",$P14&lt;&gt;"")
  ),
  "OK","NG"
)</f>
        <v>OK</v>
      </c>
      <c r="Y14" s="124" t="str">
        <f t="shared" si="2"/>
        <v>OK</v>
      </c>
      <c r="AA14" s="124" t="str">
        <f>IF(AND($G14&lt;&gt;"",$H14&lt;&gt;"",$H14&lt;&gt;リスト!$Y$3),
   IF($G14=$N14,"=",IF($G14&gt;$N14,"&gt;","&lt;")),"-"
)</f>
        <v>-</v>
      </c>
      <c r="AB14" s="124" t="str">
        <f>IF(AND($G14&lt;&gt;"",$H14&lt;&gt;"",$I14&lt;&gt;"",$H14=リスト!$Y$3),
   IF($G14=$I14,"=",IF($G14&gt;$I14,"&gt;","&lt;")),"-"
)</f>
        <v>-</v>
      </c>
    </row>
    <row r="15" spans="2:28" ht="21.95">
      <c r="B15" s="19">
        <f t="shared" si="0"/>
        <v>10</v>
      </c>
      <c r="C15" s="154"/>
      <c r="D15" s="150"/>
      <c r="E15" s="125" t="str">
        <f>IF($C15="","-",VLOOKUP($C15,取得財産等管理台帳!$D$3:$M$22,10,0))</f>
        <v>-</v>
      </c>
      <c r="F15" s="184"/>
      <c r="G15" s="185"/>
      <c r="H15" s="186"/>
      <c r="I15" s="187"/>
      <c r="J15" s="126" t="str">
        <f>IF(OR($C15="",$D15=""),"-",VLOOKUP($C15,取得財産等管理台帳!$D$3:$M$22,3,0)*$D15)</f>
        <v>-</v>
      </c>
      <c r="K15" s="20" t="str">
        <f>IF($C15="","-",VLOOKUP($C15,取得財産等管理台帳!$D$3:$M$22,5,0))</f>
        <v>-</v>
      </c>
      <c r="L15" s="170"/>
      <c r="M15" s="171"/>
      <c r="N15" s="21" t="str">
        <f>IF($M15="","-",
 IF($M15=リスト!$AA$3,残存簿価計算用!$DT15,
 IF($M15=リスト!$AA$4,残存簿価計算用!$DU15
)))</f>
        <v>-</v>
      </c>
      <c r="O15" s="178"/>
      <c r="P15" s="137"/>
      <c r="Q15" s="18" t="str">
        <f>IF(OR($O15="",$P15=""),"-",
  ROUNDDOWN(
   IF(OR($F15=リスト!$X$3,$F15=リスト!$X$5,$F15=リスト!$X$8),
     IF($G15*$P15/$O15&lt;=$P15,$G15*$P15/$O15,$P15),
     $N15*$P15/$O15),
   0
))</f>
        <v>-</v>
      </c>
      <c r="U15" s="124" t="str">
        <f>IF(OR($C15="",COUNTIF(取得財産等管理台帳!$D:$D, $C15) &gt; 0), "OK", "NG")</f>
        <v>OK</v>
      </c>
      <c r="V15" s="124" t="str">
        <f>IF(OR($C15="",$D15=""),"OK",
  IF($D15&lt;=VLOOKUP($C15,取得財産等管理台帳!$D$3:$E$22,2,0), "OK",
 "NG")
)</f>
        <v>OK</v>
      </c>
      <c r="W15" s="124" t="str">
        <f t="shared" si="1"/>
        <v>OK</v>
      </c>
      <c r="X15" s="124" t="str">
        <f>IF(
  OR(
    $C15="",
    AND($C15&lt;&gt;"",$D15&lt;&gt;"",$F15&lt;&gt;"",$G15&lt;&gt;"",IF(OR($F15=リスト!$X$3,$F15=リスト!$X$5),AND($H15&lt;&gt;"",$I15&lt;&gt;""),TRUE),$L15&lt;&gt;"",$M15&lt;&gt;"",$O15&lt;&gt;"",$P15&lt;&gt;"")
  ),
  "OK","NG"
)</f>
        <v>OK</v>
      </c>
      <c r="Y15" s="124" t="str">
        <f t="shared" si="2"/>
        <v>OK</v>
      </c>
      <c r="AA15" s="124" t="str">
        <f>IF(AND($G15&lt;&gt;"",$H15&lt;&gt;"",$H15&lt;&gt;リスト!$Y$3),
   IF($G15=$N15,"=",IF($G15&gt;$N15,"&gt;","&lt;")),"-"
)</f>
        <v>-</v>
      </c>
      <c r="AB15" s="124" t="str">
        <f>IF(AND($G15&lt;&gt;"",$H15&lt;&gt;"",$I15&lt;&gt;"",$H15=リスト!$Y$3),
   IF($G15=$I15,"=",IF($G15&gt;$I15,"&gt;","&lt;")),"-"
)</f>
        <v>-</v>
      </c>
    </row>
    <row r="16" spans="2:28" ht="21.95">
      <c r="B16" s="19">
        <f t="shared" si="0"/>
        <v>11</v>
      </c>
      <c r="C16" s="154"/>
      <c r="D16" s="150"/>
      <c r="E16" s="125" t="str">
        <f>IF($C16="","-",VLOOKUP($C16,取得財産等管理台帳!$D$3:$M$22,10,0))</f>
        <v>-</v>
      </c>
      <c r="F16" s="184"/>
      <c r="G16" s="185"/>
      <c r="H16" s="186"/>
      <c r="I16" s="187"/>
      <c r="J16" s="126" t="str">
        <f>IF(OR($C16="",$D16=""),"-",VLOOKUP($C16,取得財産等管理台帳!$D$3:$M$22,3,0)*$D16)</f>
        <v>-</v>
      </c>
      <c r="K16" s="20" t="str">
        <f>IF($C16="","-",VLOOKUP($C16,取得財産等管理台帳!$D$3:$M$22,5,0))</f>
        <v>-</v>
      </c>
      <c r="L16" s="170"/>
      <c r="M16" s="171"/>
      <c r="N16" s="21" t="str">
        <f>IF($M16="","-",
 IF($M16=リスト!$AA$3,残存簿価計算用!$DT16,
 IF($M16=リスト!$AA$4,残存簿価計算用!$DU16
)))</f>
        <v>-</v>
      </c>
      <c r="O16" s="178"/>
      <c r="P16" s="137"/>
      <c r="Q16" s="18" t="str">
        <f>IF(OR($O16="",$P16=""),"-",
  ROUNDDOWN(
   IF(OR($F16=リスト!$X$3,$F16=リスト!$X$5,$F16=リスト!$X$8),
     IF($G16*$P16/$O16&lt;=$P16,$G16*$P16/$O16,$P16),
     $N16*$P16/$O16),
   0
))</f>
        <v>-</v>
      </c>
      <c r="U16" s="124" t="str">
        <f>IF(OR($C16="",COUNTIF(取得財産等管理台帳!$D:$D, $C16) &gt; 0), "OK", "NG")</f>
        <v>OK</v>
      </c>
      <c r="V16" s="124" t="str">
        <f>IF(OR($C16="",$D16=""),"OK",
  IF($D16&lt;=VLOOKUP($C16,取得財産等管理台帳!$D$3:$E$22,2,0), "OK",
 "NG")
)</f>
        <v>OK</v>
      </c>
      <c r="W16" s="124" t="str">
        <f t="shared" si="1"/>
        <v>OK</v>
      </c>
      <c r="X16" s="124" t="str">
        <f>IF(
  OR(
    $C16="",
    AND($C16&lt;&gt;"",$D16&lt;&gt;"",$F16&lt;&gt;"",$G16&lt;&gt;"",IF(OR($F16=リスト!$X$3,$F16=リスト!$X$5),AND($H16&lt;&gt;"",$I16&lt;&gt;""),TRUE),$L16&lt;&gt;"",$M16&lt;&gt;"",$O16&lt;&gt;"",$P16&lt;&gt;"")
  ),
  "OK","NG"
)</f>
        <v>OK</v>
      </c>
      <c r="Y16" s="124" t="str">
        <f t="shared" si="2"/>
        <v>OK</v>
      </c>
      <c r="AA16" s="124" t="str">
        <f>IF(AND($G16&lt;&gt;"",$H16&lt;&gt;"",$H16&lt;&gt;リスト!$Y$3),
   IF($G16=$N16,"=",IF($G16&gt;$N16,"&gt;","&lt;")),"-"
)</f>
        <v>-</v>
      </c>
      <c r="AB16" s="124" t="str">
        <f>IF(AND($G16&lt;&gt;"",$H16&lt;&gt;"",$I16&lt;&gt;"",$H16=リスト!$Y$3),
   IF($G16=$I16,"=",IF($G16&gt;$I16,"&gt;","&lt;")),"-"
)</f>
        <v>-</v>
      </c>
    </row>
    <row r="17" spans="2:28" ht="21.95">
      <c r="B17" s="19">
        <f t="shared" si="0"/>
        <v>12</v>
      </c>
      <c r="C17" s="154"/>
      <c r="D17" s="150"/>
      <c r="E17" s="125" t="str">
        <f>IF($C17="","-",VLOOKUP($C17,取得財産等管理台帳!$D$3:$M$22,10,0))</f>
        <v>-</v>
      </c>
      <c r="F17" s="184"/>
      <c r="G17" s="185"/>
      <c r="H17" s="186"/>
      <c r="I17" s="187"/>
      <c r="J17" s="126" t="str">
        <f>IF(OR($C17="",$D17=""),"-",VLOOKUP($C17,取得財産等管理台帳!$D$3:$M$22,3,0)*$D17)</f>
        <v>-</v>
      </c>
      <c r="K17" s="20" t="str">
        <f>IF($C17="","-",VLOOKUP($C17,取得財産等管理台帳!$D$3:$M$22,5,0))</f>
        <v>-</v>
      </c>
      <c r="L17" s="170"/>
      <c r="M17" s="171"/>
      <c r="N17" s="21" t="str">
        <f>IF($M17="","-",
 IF($M17=リスト!$AA$3,残存簿価計算用!$DT17,
 IF($M17=リスト!$AA$4,残存簿価計算用!$DU17
)))</f>
        <v>-</v>
      </c>
      <c r="O17" s="178"/>
      <c r="P17" s="137"/>
      <c r="Q17" s="18" t="str">
        <f>IF(OR($O17="",$P17=""),"-",
  ROUNDDOWN(
   IF(OR($F17=リスト!$X$3,$F17=リスト!$X$5,$F17=リスト!$X$8),
     IF($G17*$P17/$O17&lt;=$P17,$G17*$P17/$O17,$P17),
     $N17*$P17/$O17),
   0
))</f>
        <v>-</v>
      </c>
      <c r="U17" s="124" t="str">
        <f>IF(OR($C17="",COUNTIF(取得財産等管理台帳!$D:$D, $C17) &gt; 0), "OK", "NG")</f>
        <v>OK</v>
      </c>
      <c r="V17" s="124" t="str">
        <f>IF(OR($C17="",$D17=""),"OK",
  IF($D17&lt;=VLOOKUP($C17,取得財産等管理台帳!$D$3:$E$22,2,0), "OK",
 "NG")
)</f>
        <v>OK</v>
      </c>
      <c r="W17" s="124" t="str">
        <f t="shared" si="1"/>
        <v>OK</v>
      </c>
      <c r="X17" s="124" t="str">
        <f>IF(
  OR(
    $C17="",
    AND($C17&lt;&gt;"",$D17&lt;&gt;"",$F17&lt;&gt;"",$G17&lt;&gt;"",IF(OR($F17=リスト!$X$3,$F17=リスト!$X$5),AND($H17&lt;&gt;"",$I17&lt;&gt;""),TRUE),$L17&lt;&gt;"",$M17&lt;&gt;"",$O17&lt;&gt;"",$P17&lt;&gt;"")
  ),
  "OK","NG"
)</f>
        <v>OK</v>
      </c>
      <c r="Y17" s="124" t="str">
        <f t="shared" si="2"/>
        <v>OK</v>
      </c>
      <c r="AA17" s="124" t="str">
        <f>IF(AND($G17&lt;&gt;"",$H17&lt;&gt;"",$H17&lt;&gt;リスト!$Y$3),
   IF($G17=$N17,"=",IF($G17&gt;$N17,"&gt;","&lt;")),"-"
)</f>
        <v>-</v>
      </c>
      <c r="AB17" s="124" t="str">
        <f>IF(AND($G17&lt;&gt;"",$H17&lt;&gt;"",$I17&lt;&gt;"",$H17=リスト!$Y$3),
   IF($G17=$I17,"=",IF($G17&gt;$I17,"&gt;","&lt;")),"-"
)</f>
        <v>-</v>
      </c>
    </row>
    <row r="18" spans="2:28" ht="21.95">
      <c r="B18" s="19">
        <f t="shared" si="0"/>
        <v>13</v>
      </c>
      <c r="C18" s="154"/>
      <c r="D18" s="150"/>
      <c r="E18" s="125" t="str">
        <f>IF($C18="","-",VLOOKUP($C18,取得財産等管理台帳!$D$3:$M$22,10,0))</f>
        <v>-</v>
      </c>
      <c r="F18" s="184"/>
      <c r="G18" s="185"/>
      <c r="H18" s="186"/>
      <c r="I18" s="187"/>
      <c r="J18" s="126" t="str">
        <f>IF(OR($C18="",$D18=""),"-",VLOOKUP($C18,取得財産等管理台帳!$D$3:$M$22,3,0)*$D18)</f>
        <v>-</v>
      </c>
      <c r="K18" s="20" t="str">
        <f>IF($C18="","-",VLOOKUP($C18,取得財産等管理台帳!$D$3:$M$22,5,0))</f>
        <v>-</v>
      </c>
      <c r="L18" s="170"/>
      <c r="M18" s="171"/>
      <c r="N18" s="21" t="str">
        <f>IF($M18="","-",
 IF($M18=リスト!$AA$3,残存簿価計算用!$DT18,
 IF($M18=リスト!$AA$4,残存簿価計算用!$DU18
)))</f>
        <v>-</v>
      </c>
      <c r="O18" s="178"/>
      <c r="P18" s="137"/>
      <c r="Q18" s="18" t="str">
        <f>IF(OR($O18="",$P18=""),"-",
  ROUNDDOWN(
   IF(OR($F18=リスト!$X$3,$F18=リスト!$X$5,$F18=リスト!$X$8),
     IF($G18*$P18/$O18&lt;=$P18,$G18*$P18/$O18,$P18),
     $N18*$P18/$O18),
   0
))</f>
        <v>-</v>
      </c>
      <c r="U18" s="124" t="str">
        <f>IF(OR($C18="",COUNTIF(取得財産等管理台帳!$D:$D, $C18) &gt; 0), "OK", "NG")</f>
        <v>OK</v>
      </c>
      <c r="V18" s="124" t="str">
        <f>IF(OR($C18="",$D18=""),"OK",
  IF($D18&lt;=VLOOKUP($C18,取得財産等管理台帳!$D$3:$E$22,2,0), "OK",
 "NG")
)</f>
        <v>OK</v>
      </c>
      <c r="W18" s="124" t="str">
        <f t="shared" si="1"/>
        <v>OK</v>
      </c>
      <c r="X18" s="124" t="str">
        <f>IF(
  OR(
    $C18="",
    AND($C18&lt;&gt;"",$D18&lt;&gt;"",$F18&lt;&gt;"",$G18&lt;&gt;"",IF(OR($F18=リスト!$X$3,$F18=リスト!$X$5),AND($H18&lt;&gt;"",$I18&lt;&gt;""),TRUE),$L18&lt;&gt;"",$M18&lt;&gt;"",$O18&lt;&gt;"",$P18&lt;&gt;"")
  ),
  "OK","NG"
)</f>
        <v>OK</v>
      </c>
      <c r="Y18" s="124" t="str">
        <f t="shared" si="2"/>
        <v>OK</v>
      </c>
      <c r="AA18" s="124" t="str">
        <f>IF(AND($G18&lt;&gt;"",$H18&lt;&gt;"",$H18&lt;&gt;リスト!$Y$3),
   IF($G18=$N18,"=",IF($G18&gt;$N18,"&gt;","&lt;")),"-"
)</f>
        <v>-</v>
      </c>
      <c r="AB18" s="124" t="str">
        <f>IF(AND($G18&lt;&gt;"",$H18&lt;&gt;"",$I18&lt;&gt;"",$H18=リスト!$Y$3),
   IF($G18=$I18,"=",IF($G18&gt;$I18,"&gt;","&lt;")),"-"
)</f>
        <v>-</v>
      </c>
    </row>
    <row r="19" spans="2:28" ht="21.95">
      <c r="B19" s="19">
        <f t="shared" si="0"/>
        <v>14</v>
      </c>
      <c r="C19" s="154"/>
      <c r="D19" s="150"/>
      <c r="E19" s="125" t="str">
        <f>IF($C19="","-",VLOOKUP($C19,取得財産等管理台帳!$D$3:$M$22,10,0))</f>
        <v>-</v>
      </c>
      <c r="F19" s="184"/>
      <c r="G19" s="185"/>
      <c r="H19" s="186"/>
      <c r="I19" s="187"/>
      <c r="J19" s="126" t="str">
        <f>IF(OR($C19="",$D19=""),"-",VLOOKUP($C19,取得財産等管理台帳!$D$3:$M$22,3,0)*$D19)</f>
        <v>-</v>
      </c>
      <c r="K19" s="20" t="str">
        <f>IF($C19="","-",VLOOKUP($C19,取得財産等管理台帳!$D$3:$M$22,5,0))</f>
        <v>-</v>
      </c>
      <c r="L19" s="170"/>
      <c r="M19" s="171"/>
      <c r="N19" s="21" t="str">
        <f>IF($M19="","-",
 IF($M19=リスト!$AA$3,残存簿価計算用!$DT19,
 IF($M19=リスト!$AA$4,残存簿価計算用!$DU19
)))</f>
        <v>-</v>
      </c>
      <c r="O19" s="178"/>
      <c r="P19" s="137"/>
      <c r="Q19" s="18" t="str">
        <f>IF(OR($O19="",$P19=""),"-",
  ROUNDDOWN(
   IF(OR($F19=リスト!$X$3,$F19=リスト!$X$5,$F19=リスト!$X$8),
     IF($G19*$P19/$O19&lt;=$P19,$G19*$P19/$O19,$P19),
     $N19*$P19/$O19),
   0
))</f>
        <v>-</v>
      </c>
      <c r="U19" s="124" t="str">
        <f>IF(OR($C19="",COUNTIF(取得財産等管理台帳!$D:$D, $C19) &gt; 0), "OK", "NG")</f>
        <v>OK</v>
      </c>
      <c r="V19" s="124" t="str">
        <f>IF(OR($C19="",$D19=""),"OK",
  IF($D19&lt;=VLOOKUP($C19,取得財産等管理台帳!$D$3:$E$22,2,0), "OK",
 "NG")
)</f>
        <v>OK</v>
      </c>
      <c r="W19" s="124" t="str">
        <f t="shared" si="1"/>
        <v>OK</v>
      </c>
      <c r="X19" s="124" t="str">
        <f>IF(
  OR(
    $C19="",
    AND($C19&lt;&gt;"",$D19&lt;&gt;"",$F19&lt;&gt;"",$G19&lt;&gt;"",IF(OR($F19=リスト!$X$3,$F19=リスト!$X$5),AND($H19&lt;&gt;"",$I19&lt;&gt;""),TRUE),$L19&lt;&gt;"",$M19&lt;&gt;"",$O19&lt;&gt;"",$P19&lt;&gt;"")
  ),
  "OK","NG"
)</f>
        <v>OK</v>
      </c>
      <c r="Y19" s="124" t="str">
        <f t="shared" si="2"/>
        <v>OK</v>
      </c>
      <c r="AA19" s="124" t="str">
        <f>IF(AND($G19&lt;&gt;"",$H19&lt;&gt;"",$H19&lt;&gt;リスト!$Y$3),
   IF($G19=$N19,"=",IF($G19&gt;$N19,"&gt;","&lt;")),"-"
)</f>
        <v>-</v>
      </c>
      <c r="AB19" s="124" t="str">
        <f>IF(AND($G19&lt;&gt;"",$H19&lt;&gt;"",$I19&lt;&gt;"",$H19=リスト!$Y$3),
   IF($G19=$I19,"=",IF($G19&gt;$I19,"&gt;","&lt;")),"-"
)</f>
        <v>-</v>
      </c>
    </row>
    <row r="20" spans="2:28" ht="21.95">
      <c r="B20" s="19">
        <f t="shared" si="0"/>
        <v>15</v>
      </c>
      <c r="C20" s="154"/>
      <c r="D20" s="150"/>
      <c r="E20" s="125" t="str">
        <f>IF($C20="","-",VLOOKUP($C20,取得財産等管理台帳!$D$3:$M$22,10,0))</f>
        <v>-</v>
      </c>
      <c r="F20" s="184"/>
      <c r="G20" s="185"/>
      <c r="H20" s="186"/>
      <c r="I20" s="187"/>
      <c r="J20" s="126" t="str">
        <f>IF(OR($C20="",$D20=""),"-",VLOOKUP($C20,取得財産等管理台帳!$D$3:$M$22,3,0)*$D20)</f>
        <v>-</v>
      </c>
      <c r="K20" s="20" t="str">
        <f>IF($C20="","-",VLOOKUP($C20,取得財産等管理台帳!$D$3:$M$22,5,0))</f>
        <v>-</v>
      </c>
      <c r="L20" s="170"/>
      <c r="M20" s="171"/>
      <c r="N20" s="21" t="str">
        <f>IF($M20="","-",
 IF($M20=リスト!$AA$3,残存簿価計算用!$DT20,
 IF($M20=リスト!$AA$4,残存簿価計算用!$DU20
)))</f>
        <v>-</v>
      </c>
      <c r="O20" s="178"/>
      <c r="P20" s="137"/>
      <c r="Q20" s="18" t="str">
        <f>IF(OR($O20="",$P20=""),"-",
  ROUNDDOWN(
   IF(OR($F20=リスト!$X$3,$F20=リスト!$X$5,$F20=リスト!$X$8),
     IF($G20*$P20/$O20&lt;=$P20,$G20*$P20/$O20,$P20),
     $N20*$P20/$O20),
   0
))</f>
        <v>-</v>
      </c>
      <c r="U20" s="124" t="str">
        <f>IF(OR($C20="",COUNTIF(取得財産等管理台帳!$D:$D, $C20) &gt; 0), "OK", "NG")</f>
        <v>OK</v>
      </c>
      <c r="V20" s="124" t="str">
        <f>IF(OR($C20="",$D20=""),"OK",
  IF($D20&lt;=VLOOKUP($C20,取得財産等管理台帳!$D$3:$E$22,2,0), "OK",
 "NG")
)</f>
        <v>OK</v>
      </c>
      <c r="W20" s="124" t="str">
        <f t="shared" si="1"/>
        <v>OK</v>
      </c>
      <c r="X20" s="124" t="str">
        <f>IF(
  OR(
    $C20="",
    AND($C20&lt;&gt;"",$D20&lt;&gt;"",$F20&lt;&gt;"",$G20&lt;&gt;"",IF(OR($F20=リスト!$X$3,$F20=リスト!$X$5),AND($H20&lt;&gt;"",$I20&lt;&gt;""),TRUE),$L20&lt;&gt;"",$M20&lt;&gt;"",$O20&lt;&gt;"",$P20&lt;&gt;"")
  ),
  "OK","NG"
)</f>
        <v>OK</v>
      </c>
      <c r="Y20" s="124" t="str">
        <f t="shared" si="2"/>
        <v>OK</v>
      </c>
      <c r="AA20" s="124" t="str">
        <f>IF(AND($G20&lt;&gt;"",$H20&lt;&gt;"",$H20&lt;&gt;リスト!$Y$3),
   IF($G20=$N20,"=",IF($G20&gt;$N20,"&gt;","&lt;")),"-"
)</f>
        <v>-</v>
      </c>
      <c r="AB20" s="124" t="str">
        <f>IF(AND($G20&lt;&gt;"",$H20&lt;&gt;"",$I20&lt;&gt;"",$H20=リスト!$Y$3),
   IF($G20=$I20,"=",IF($G20&gt;$I20,"&gt;","&lt;")),"-"
)</f>
        <v>-</v>
      </c>
    </row>
    <row r="21" spans="2:28" ht="21.95">
      <c r="B21" s="19">
        <f t="shared" si="0"/>
        <v>16</v>
      </c>
      <c r="C21" s="154"/>
      <c r="D21" s="150"/>
      <c r="E21" s="125" t="str">
        <f>IF($C21="","-",VLOOKUP($C21,取得財産等管理台帳!$D$3:$M$22,10,0))</f>
        <v>-</v>
      </c>
      <c r="F21" s="184"/>
      <c r="G21" s="185"/>
      <c r="H21" s="186"/>
      <c r="I21" s="187"/>
      <c r="J21" s="126" t="str">
        <f>IF(OR($C21="",$D21=""),"-",VLOOKUP($C21,取得財産等管理台帳!$D$3:$M$22,3,0)*$D21)</f>
        <v>-</v>
      </c>
      <c r="K21" s="20" t="str">
        <f>IF($C21="","-",VLOOKUP($C21,取得財産等管理台帳!$D$3:$M$22,5,0))</f>
        <v>-</v>
      </c>
      <c r="L21" s="170"/>
      <c r="M21" s="171"/>
      <c r="N21" s="21" t="str">
        <f>IF($M21="","-",
 IF($M21=リスト!$AA$3,残存簿価計算用!$DT21,
 IF($M21=リスト!$AA$4,残存簿価計算用!$DU21
)))</f>
        <v>-</v>
      </c>
      <c r="O21" s="178"/>
      <c r="P21" s="137"/>
      <c r="Q21" s="18" t="str">
        <f>IF(OR($O21="",$P21=""),"-",
  ROUNDDOWN(
   IF(OR($F21=リスト!$X$3,$F21=リスト!$X$5,$F21=リスト!$X$8),
     IF($G21*$P21/$O21&lt;=$P21,$G21*$P21/$O21,$P21),
     $N21*$P21/$O21),
   0
))</f>
        <v>-</v>
      </c>
      <c r="U21" s="124" t="str">
        <f>IF(OR($C21="",COUNTIF(取得財産等管理台帳!$D:$D, $C21) &gt; 0), "OK", "NG")</f>
        <v>OK</v>
      </c>
      <c r="V21" s="124" t="str">
        <f>IF(OR($C21="",$D21=""),"OK",
  IF($D21&lt;=VLOOKUP($C21,取得財産等管理台帳!$D$3:$E$22,2,0), "OK",
 "NG")
)</f>
        <v>OK</v>
      </c>
      <c r="W21" s="124" t="str">
        <f t="shared" si="1"/>
        <v>OK</v>
      </c>
      <c r="X21" s="124" t="str">
        <f>IF(
  OR(
    $C21="",
    AND($C21&lt;&gt;"",$D21&lt;&gt;"",$F21&lt;&gt;"",$G21&lt;&gt;"",IF(OR($F21=リスト!$X$3,$F21=リスト!$X$5),AND($H21&lt;&gt;"",$I21&lt;&gt;""),TRUE),$L21&lt;&gt;"",$M21&lt;&gt;"",$O21&lt;&gt;"",$P21&lt;&gt;"")
  ),
  "OK","NG"
)</f>
        <v>OK</v>
      </c>
      <c r="Y21" s="124" t="str">
        <f t="shared" si="2"/>
        <v>OK</v>
      </c>
      <c r="AA21" s="124" t="str">
        <f>IF(AND($G21&lt;&gt;"",$H21&lt;&gt;"",$H21&lt;&gt;リスト!$Y$3),
   IF($G21=$N21,"=",IF($G21&gt;$N21,"&gt;","&lt;")),"-"
)</f>
        <v>-</v>
      </c>
      <c r="AB21" s="124" t="str">
        <f>IF(AND($G21&lt;&gt;"",$H21&lt;&gt;"",$I21&lt;&gt;"",$H21=リスト!$Y$3),
   IF($G21=$I21,"=",IF($G21&gt;$I21,"&gt;","&lt;")),"-"
)</f>
        <v>-</v>
      </c>
    </row>
    <row r="22" spans="2:28" ht="21.95">
      <c r="B22" s="19">
        <f t="shared" si="0"/>
        <v>17</v>
      </c>
      <c r="C22" s="154"/>
      <c r="D22" s="150"/>
      <c r="E22" s="125" t="str">
        <f>IF($C22="","-",VLOOKUP($C22,取得財産等管理台帳!$D$3:$M$22,10,0))</f>
        <v>-</v>
      </c>
      <c r="F22" s="184"/>
      <c r="G22" s="185"/>
      <c r="H22" s="186"/>
      <c r="I22" s="187"/>
      <c r="J22" s="126" t="str">
        <f>IF(OR($C22="",$D22=""),"-",VLOOKUP($C22,取得財産等管理台帳!$D$3:$M$22,3,0)*$D22)</f>
        <v>-</v>
      </c>
      <c r="K22" s="20" t="str">
        <f>IF($C22="","-",VLOOKUP($C22,取得財産等管理台帳!$D$3:$M$22,5,0))</f>
        <v>-</v>
      </c>
      <c r="L22" s="170"/>
      <c r="M22" s="171"/>
      <c r="N22" s="21" t="str">
        <f>IF($M22="","-",
 IF($M22=リスト!$AA$3,残存簿価計算用!$DT22,
 IF($M22=リスト!$AA$4,残存簿価計算用!$DU22
)))</f>
        <v>-</v>
      </c>
      <c r="O22" s="178"/>
      <c r="P22" s="137"/>
      <c r="Q22" s="18" t="str">
        <f>IF(OR($O22="",$P22=""),"-",
  ROUNDDOWN(
   IF(OR($F22=リスト!$X$3,$F22=リスト!$X$5,$F22=リスト!$X$8),
     IF($G22*$P22/$O22&lt;=$P22,$G22*$P22/$O22,$P22),
     $N22*$P22/$O22),
   0
))</f>
        <v>-</v>
      </c>
      <c r="U22" s="124" t="str">
        <f>IF(OR($C22="",COUNTIF(取得財産等管理台帳!$D:$D, $C22) &gt; 0), "OK", "NG")</f>
        <v>OK</v>
      </c>
      <c r="V22" s="124" t="str">
        <f>IF(OR($C22="",$D22=""),"OK",
  IF($D22&lt;=VLOOKUP($C22,取得財産等管理台帳!$D$3:$E$22,2,0), "OK",
 "NG")
)</f>
        <v>OK</v>
      </c>
      <c r="W22" s="124" t="str">
        <f t="shared" si="1"/>
        <v>OK</v>
      </c>
      <c r="X22" s="124" t="str">
        <f>IF(
  OR(
    $C22="",
    AND($C22&lt;&gt;"",$D22&lt;&gt;"",$F22&lt;&gt;"",$G22&lt;&gt;"",IF(OR($F22=リスト!$X$3,$F22=リスト!$X$5),AND($H22&lt;&gt;"",$I22&lt;&gt;""),TRUE),$L22&lt;&gt;"",$M22&lt;&gt;"",$O22&lt;&gt;"",$P22&lt;&gt;"")
  ),
  "OK","NG"
)</f>
        <v>OK</v>
      </c>
      <c r="Y22" s="124" t="str">
        <f t="shared" si="2"/>
        <v>OK</v>
      </c>
      <c r="AA22" s="124" t="str">
        <f>IF(AND($G22&lt;&gt;"",$H22&lt;&gt;"",$H22&lt;&gt;リスト!$Y$3),
   IF($G22=$N22,"=",IF($G22&gt;$N22,"&gt;","&lt;")),"-"
)</f>
        <v>-</v>
      </c>
      <c r="AB22" s="124" t="str">
        <f>IF(AND($G22&lt;&gt;"",$H22&lt;&gt;"",$I22&lt;&gt;"",$H22=リスト!$Y$3),
   IF($G22=$I22,"=",IF($G22&gt;$I22,"&gt;","&lt;")),"-"
)</f>
        <v>-</v>
      </c>
    </row>
    <row r="23" spans="2:28" ht="21.95">
      <c r="B23" s="19">
        <f t="shared" si="0"/>
        <v>18</v>
      </c>
      <c r="C23" s="154"/>
      <c r="D23" s="150"/>
      <c r="E23" s="125" t="str">
        <f>IF($C23="","-",VLOOKUP($C23,取得財産等管理台帳!$D$3:$M$22,10,0))</f>
        <v>-</v>
      </c>
      <c r="F23" s="184"/>
      <c r="G23" s="185"/>
      <c r="H23" s="186"/>
      <c r="I23" s="187"/>
      <c r="J23" s="126" t="str">
        <f>IF(OR($C23="",$D23=""),"-",VLOOKUP($C23,取得財産等管理台帳!$D$3:$M$22,3,0)*$D23)</f>
        <v>-</v>
      </c>
      <c r="K23" s="20" t="str">
        <f>IF($C23="","-",VLOOKUP($C23,取得財産等管理台帳!$D$3:$M$22,5,0))</f>
        <v>-</v>
      </c>
      <c r="L23" s="170"/>
      <c r="M23" s="171"/>
      <c r="N23" s="21" t="str">
        <f>IF($M23="","-",
 IF($M23=リスト!$AA$3,残存簿価計算用!$DT23,
 IF($M23=リスト!$AA$4,残存簿価計算用!$DU23
)))</f>
        <v>-</v>
      </c>
      <c r="O23" s="178"/>
      <c r="P23" s="137"/>
      <c r="Q23" s="18" t="str">
        <f>IF(OR($O23="",$P23=""),"-",
  ROUNDDOWN(
   IF(OR($F23=リスト!$X$3,$F23=リスト!$X$5,$F23=リスト!$X$8),
     IF($G23*$P23/$O23&lt;=$P23,$G23*$P23/$O23,$P23),
     $N23*$P23/$O23),
   0
))</f>
        <v>-</v>
      </c>
      <c r="U23" s="124" t="str">
        <f>IF(OR($C23="",COUNTIF(取得財産等管理台帳!$D:$D, $C23) &gt; 0), "OK", "NG")</f>
        <v>OK</v>
      </c>
      <c r="V23" s="124" t="str">
        <f>IF(OR($C23="",$D23=""),"OK",
  IF($D23&lt;=VLOOKUP($C23,取得財産等管理台帳!$D$3:$E$22,2,0), "OK",
 "NG")
)</f>
        <v>OK</v>
      </c>
      <c r="W23" s="124" t="str">
        <f t="shared" si="1"/>
        <v>OK</v>
      </c>
      <c r="X23" s="124" t="str">
        <f>IF(
  OR(
    $C23="",
    AND($C23&lt;&gt;"",$D23&lt;&gt;"",$F23&lt;&gt;"",$G23&lt;&gt;"",IF(OR($F23=リスト!$X$3,$F23=リスト!$X$5),AND($H23&lt;&gt;"",$I23&lt;&gt;""),TRUE),$L23&lt;&gt;"",$M23&lt;&gt;"",$O23&lt;&gt;"",$P23&lt;&gt;"")
  ),
  "OK","NG"
)</f>
        <v>OK</v>
      </c>
      <c r="Y23" s="124" t="str">
        <f t="shared" si="2"/>
        <v>OK</v>
      </c>
      <c r="AA23" s="124" t="str">
        <f>IF(AND($G23&lt;&gt;"",$H23&lt;&gt;"",$H23&lt;&gt;リスト!$Y$3),
   IF($G23=$N23,"=",IF($G23&gt;$N23,"&gt;","&lt;")),"-"
)</f>
        <v>-</v>
      </c>
      <c r="AB23" s="124" t="str">
        <f>IF(AND($G23&lt;&gt;"",$H23&lt;&gt;"",$I23&lt;&gt;"",$H23=リスト!$Y$3),
   IF($G23=$I23,"=",IF($G23&gt;$I23,"&gt;","&lt;")),"-"
)</f>
        <v>-</v>
      </c>
    </row>
    <row r="24" spans="2:28" ht="21.95">
      <c r="B24" s="19">
        <f t="shared" si="0"/>
        <v>19</v>
      </c>
      <c r="C24" s="154"/>
      <c r="D24" s="150"/>
      <c r="E24" s="125" t="str">
        <f>IF($C24="","-",VLOOKUP($C24,取得財産等管理台帳!$D$3:$M$22,10,0))</f>
        <v>-</v>
      </c>
      <c r="F24" s="184"/>
      <c r="G24" s="185"/>
      <c r="H24" s="186"/>
      <c r="I24" s="187"/>
      <c r="J24" s="126" t="str">
        <f>IF(OR($C24="",$D24=""),"-",VLOOKUP($C24,取得財産等管理台帳!$D$3:$M$22,3,0)*$D24)</f>
        <v>-</v>
      </c>
      <c r="K24" s="20" t="str">
        <f>IF($C24="","-",VLOOKUP($C24,取得財産等管理台帳!$D$3:$M$22,5,0))</f>
        <v>-</v>
      </c>
      <c r="L24" s="170"/>
      <c r="M24" s="171"/>
      <c r="N24" s="21" t="str">
        <f>IF($M24="","-",
 IF($M24=リスト!$AA$3,残存簿価計算用!$DT24,
 IF($M24=リスト!$AA$4,残存簿価計算用!$DU24
)))</f>
        <v>-</v>
      </c>
      <c r="O24" s="178"/>
      <c r="P24" s="137"/>
      <c r="Q24" s="18" t="str">
        <f>IF(OR($O24="",$P24=""),"-",
  ROUNDDOWN(
   IF(OR($F24=リスト!$X$3,$F24=リスト!$X$5,$F24=リスト!$X$8),
     IF($G24*$P24/$O24&lt;=$P24,$G24*$P24/$O24,$P24),
     $N24*$P24/$O24),
   0
))</f>
        <v>-</v>
      </c>
      <c r="U24" s="124" t="str">
        <f>IF(OR($C24="",COUNTIF(取得財産等管理台帳!$D:$D, $C24) &gt; 0), "OK", "NG")</f>
        <v>OK</v>
      </c>
      <c r="V24" s="124" t="str">
        <f>IF(OR($C24="",$D24=""),"OK",
  IF($D24&lt;=VLOOKUP($C24,取得財産等管理台帳!$D$3:$E$22,2,0), "OK",
 "NG")
)</f>
        <v>OK</v>
      </c>
      <c r="W24" s="124" t="str">
        <f t="shared" si="1"/>
        <v>OK</v>
      </c>
      <c r="X24" s="124" t="str">
        <f>IF(
  OR(
    $C24="",
    AND($C24&lt;&gt;"",$D24&lt;&gt;"",$F24&lt;&gt;"",$G24&lt;&gt;"",IF(OR($F24=リスト!$X$3,$F24=リスト!$X$5),AND($H24&lt;&gt;"",$I24&lt;&gt;""),TRUE),$L24&lt;&gt;"",$M24&lt;&gt;"",$O24&lt;&gt;"",$P24&lt;&gt;"")
  ),
  "OK","NG"
)</f>
        <v>OK</v>
      </c>
      <c r="Y24" s="124" t="str">
        <f t="shared" si="2"/>
        <v>OK</v>
      </c>
      <c r="AA24" s="124" t="str">
        <f>IF(AND($G24&lt;&gt;"",$H24&lt;&gt;"",$H24&lt;&gt;リスト!$Y$3),
   IF($G24=$N24,"=",IF($G24&gt;$N24,"&gt;","&lt;")),"-"
)</f>
        <v>-</v>
      </c>
      <c r="AB24" s="124" t="str">
        <f>IF(AND($G24&lt;&gt;"",$H24&lt;&gt;"",$I24&lt;&gt;"",$H24=リスト!$Y$3),
   IF($G24=$I24,"=",IF($G24&gt;$I24,"&gt;","&lt;")),"-"
)</f>
        <v>-</v>
      </c>
    </row>
    <row r="25" spans="2:28" ht="22.5" thickBot="1">
      <c r="B25" s="19">
        <f t="shared" si="0"/>
        <v>20</v>
      </c>
      <c r="C25" s="155"/>
      <c r="D25" s="152"/>
      <c r="E25" s="125" t="str">
        <f>IF($C25="","-",VLOOKUP($C25,取得財産等管理台帳!$D$3:$M$22,10,0))</f>
        <v>-</v>
      </c>
      <c r="F25" s="188"/>
      <c r="G25" s="189"/>
      <c r="H25" s="190"/>
      <c r="I25" s="191"/>
      <c r="J25" s="126" t="str">
        <f>IF(OR($C25="",$D25=""),"-",VLOOKUP($C25,取得財産等管理台帳!$D$3:$M$22,3,0)*$D25)</f>
        <v>-</v>
      </c>
      <c r="K25" s="20" t="str">
        <f>IF($C25="","-",VLOOKUP($C25,取得財産等管理台帳!$D$3:$M$22,5,0))</f>
        <v>-</v>
      </c>
      <c r="L25" s="172"/>
      <c r="M25" s="173"/>
      <c r="N25" s="21" t="str">
        <f>IF($M25="","-",
 IF($M25=リスト!$AA$3,残存簿価計算用!$DT25,
 IF($M25=リスト!$AA$4,残存簿価計算用!$DU25
)))</f>
        <v>-</v>
      </c>
      <c r="O25" s="179"/>
      <c r="P25" s="140"/>
      <c r="Q25" s="18" t="str">
        <f>IF(OR($O25="",$P25=""),"-",
  ROUNDDOWN(
   IF(OR($F25=リスト!$X$3,$F25=リスト!$X$5,$F25=リスト!$X$8),
     IF($G25*$P25/$O25&lt;=$P25,$G25*$P25/$O25,$P25),
     $N25*$P25/$O25),
   0
))</f>
        <v>-</v>
      </c>
      <c r="U25" s="124" t="str">
        <f>IF(OR($C25="",COUNTIF(取得財産等管理台帳!$D:$D, $C25) &gt; 0), "OK", "NG")</f>
        <v>OK</v>
      </c>
      <c r="V25" s="124" t="str">
        <f>IF(OR($C25="",$D25=""),"OK",
  IF($D25&lt;=VLOOKUP($C25,取得財産等管理台帳!$D$3:$E$22,2,0), "OK",
 "NG")
)</f>
        <v>OK</v>
      </c>
      <c r="W25" s="124" t="str">
        <f t="shared" si="1"/>
        <v>OK</v>
      </c>
      <c r="X25" s="124" t="str">
        <f>IF(
  OR(
    $C25="",
    AND($C25&lt;&gt;"",$D25&lt;&gt;"",$F25&lt;&gt;"",$G25&lt;&gt;"",IF(OR($F25=リスト!$X$3,$F25=リスト!$X$5),AND($H25&lt;&gt;"",$I25&lt;&gt;""),TRUE),$L25&lt;&gt;"",$M25&lt;&gt;"",$O25&lt;&gt;"",$P25&lt;&gt;"")
  ),
  "OK","NG"
)</f>
        <v>OK</v>
      </c>
      <c r="Y25" s="124" t="str">
        <f t="shared" si="2"/>
        <v>OK</v>
      </c>
      <c r="AA25" s="124" t="str">
        <f>IF(AND($G25&lt;&gt;"",$H25&lt;&gt;"",$H25&lt;&gt;リスト!$Y$3),
   IF($G25=$N25,"=",IF($G25&gt;$N25,"&gt;","&lt;")),"-"
)</f>
        <v>-</v>
      </c>
      <c r="AB25" s="124" t="str">
        <f>IF(AND($G25&lt;&gt;"",$H25&lt;&gt;"",$I25&lt;&gt;"",$H25=リスト!$Y$3),
   IF($G25=$I25,"=",IF($G25&gt;$I25,"&gt;","&lt;")),"-"
)</f>
        <v>-</v>
      </c>
    </row>
    <row r="26" spans="2:28" ht="22.5" thickTop="1">
      <c r="B26" s="25" t="s">
        <v>148</v>
      </c>
      <c r="C26" s="26"/>
      <c r="D26" s="26"/>
      <c r="E26" s="27"/>
      <c r="F26" s="37"/>
      <c r="G26" s="31">
        <f>SUM($G$6:$G$25)</f>
        <v>0</v>
      </c>
      <c r="H26" s="37"/>
      <c r="I26" s="37"/>
      <c r="J26" s="35"/>
      <c r="K26" s="28"/>
      <c r="L26" s="29"/>
      <c r="M26" s="30"/>
      <c r="N26" s="37"/>
      <c r="O26" s="30"/>
      <c r="P26" s="32"/>
      <c r="Q26" s="31">
        <f>SUM($Q$6:$Q$25)</f>
        <v>0</v>
      </c>
    </row>
    <row r="28" spans="2:28">
      <c r="B28" s="4" t="s">
        <v>127</v>
      </c>
      <c r="C28" s="5" t="s">
        <v>149</v>
      </c>
      <c r="D28" s="5"/>
      <c r="E28" s="5"/>
    </row>
    <row r="30" spans="2:28">
      <c r="L30" s="24"/>
    </row>
  </sheetData>
  <sheetProtection algorithmName="SHA-512" hashValue="KNpEG5xECOVGm8jAMF8IldTqH3cfGdeInss/hxn60k9Cv2HsEs4ZuhMHWyOMJlMSPtFrMzbml6ZV//c7Vd6I6g==" saltValue="OjAfUh/tbdsXp0DxgBYzLA==" spinCount="100000" sheet="1" objects="1" scenarios="1" selectLockedCells="1"/>
  <phoneticPr fontId="2"/>
  <dataValidations count="1">
    <dataValidation type="list" allowBlank="1" showInputMessage="1" showErrorMessage="1" sqref="L3" xr:uid="{F1881FF0-8AC5-4016-AD11-A1B10F58F8F4}">
      <formula1>INDIRECT("_"&amp;$K$3)</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6992EFDD-47B3-451A-AD7D-8F218D2DD431}">
            <xm:f>AND($F6&lt;&gt;リスト!$X$3,$F6&lt;&gt;リスト!$X$5)</xm:f>
            <x14:dxf>
              <fill>
                <patternFill>
                  <bgColor theme="0" tint="-0.14996795556505021"/>
                </patternFill>
              </fill>
            </x14:dxf>
          </x14:cfRule>
          <xm:sqref>H6:I25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E9AA0220-EFF6-45A4-95A6-0643BB5204EC}">
          <x14:formula1>
            <xm:f>リスト!$AB$3:$AB$14</xm:f>
          </x14:formula1>
          <xm:sqref>K3</xm:sqref>
        </x14:dataValidation>
        <x14:dataValidation type="list" allowBlank="1" showInputMessage="1" showErrorMessage="1" xr:uid="{FFC10450-FC14-435D-BF2B-AC0985AA304C}">
          <x14:formula1>
            <xm:f>リスト!$AE$3:$AE$5</xm:f>
          </x14:formula1>
          <xm:sqref>M3</xm:sqref>
        </x14:dataValidation>
        <x14:dataValidation type="list" allowBlank="1" showInputMessage="1" showErrorMessage="1" xr:uid="{2CB7AAAA-DB65-4F7A-93BF-13E78C0FAB09}">
          <x14:formula1>
            <xm:f>リスト!$AA$3:$AA$4</xm:f>
          </x14:formula1>
          <xm:sqref>M6:M26</xm:sqref>
        </x14:dataValidation>
        <x14:dataValidation type="list" allowBlank="1" showInputMessage="1" showErrorMessage="1" xr:uid="{D35A0605-7C76-44FC-B5E6-3CF5C0EC0D3F}">
          <x14:formula1>
            <xm:f>リスト!$X$3:$X$11</xm:f>
          </x14:formula1>
          <xm:sqref>F6:F25</xm:sqref>
        </x14:dataValidation>
        <x14:dataValidation type="list" allowBlank="1" showInputMessage="1" showErrorMessage="1" xr:uid="{8654BA2F-6D6A-42DD-9198-62B7C7FC41AC}">
          <x14:formula1>
            <xm:f>リスト!$Y$3:$Y$4</xm:f>
          </x14:formula1>
          <xm:sqref>H6:H25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FDB89-97A5-4669-BE5C-B2C1E62680EE}">
  <sheetPr>
    <tabColor theme="1" tint="0.249977111117893"/>
  </sheetPr>
  <dimension ref="B2:DU33"/>
  <sheetViews>
    <sheetView showGridLines="0" zoomScale="70" zoomScaleNormal="70" workbookViewId="0"/>
  </sheetViews>
  <sheetFormatPr defaultColWidth="8.88671875" defaultRowHeight="15" outlineLevelCol="1"/>
  <cols>
    <col min="1" max="1" width="2.33203125" style="1" customWidth="1"/>
    <col min="2" max="2" width="4.44140625" style="1" customWidth="1"/>
    <col min="3" max="3" width="47.77734375" style="1" customWidth="1"/>
    <col min="4" max="4" width="9.44140625" style="1" customWidth="1"/>
    <col min="5" max="7" width="12.33203125" style="1" customWidth="1"/>
    <col min="8" max="8" width="9.44140625" style="1" customWidth="1"/>
    <col min="9" max="9" width="7.5546875" style="1" customWidth="1"/>
    <col min="10" max="10" width="11.44140625" style="1" customWidth="1"/>
    <col min="11" max="11" width="9.77734375" style="1" customWidth="1"/>
    <col min="12" max="12" width="11.44140625" style="1" customWidth="1"/>
    <col min="13" max="15" width="13.21875" style="1" customWidth="1"/>
    <col min="16" max="16" width="10.6640625" style="1" bestFit="1" customWidth="1"/>
    <col min="17" max="18" width="8.21875" style="1" bestFit="1" customWidth="1"/>
    <col min="19" max="20" width="17.5546875" style="1" customWidth="1"/>
    <col min="21" max="21" width="16.33203125" style="1" customWidth="1"/>
    <col min="22" max="22" width="13.44140625" style="1" bestFit="1" customWidth="1"/>
    <col min="23" max="23" width="5.6640625" style="1" customWidth="1"/>
    <col min="24" max="24" width="13.33203125" style="1" customWidth="1"/>
    <col min="25" max="25" width="15.6640625" style="1" customWidth="1"/>
    <col min="26" max="26" width="13.33203125" style="1" customWidth="1" outlineLevel="1"/>
    <col min="27" max="27" width="15.6640625" style="1" customWidth="1" outlineLevel="1"/>
    <col min="28" max="28" width="13.33203125" style="1" customWidth="1" outlineLevel="1"/>
    <col min="29" max="29" width="15.6640625" style="1" customWidth="1" outlineLevel="1"/>
    <col min="30" max="30" width="13.33203125" style="1" customWidth="1" outlineLevel="1"/>
    <col min="31" max="31" width="15.6640625" style="1" customWidth="1" outlineLevel="1"/>
    <col min="32" max="32" width="13.33203125" style="1" customWidth="1" outlineLevel="1"/>
    <col min="33" max="33" width="15.6640625" style="1" customWidth="1" outlineLevel="1"/>
    <col min="34" max="34" width="13.33203125" style="1" customWidth="1" outlineLevel="1"/>
    <col min="35" max="35" width="15.6640625" style="1" customWidth="1" outlineLevel="1"/>
    <col min="36" max="36" width="13.33203125" style="1" customWidth="1" outlineLevel="1"/>
    <col min="37" max="37" width="15.6640625" style="1" customWidth="1" outlineLevel="1"/>
    <col min="38" max="38" width="13.33203125" style="1" customWidth="1" outlineLevel="1"/>
    <col min="39" max="39" width="15.6640625" style="1" customWidth="1" outlineLevel="1"/>
    <col min="40" max="40" width="13.33203125" style="1" customWidth="1" outlineLevel="1"/>
    <col min="41" max="41" width="15.6640625" style="1" customWidth="1" outlineLevel="1"/>
    <col min="42" max="42" width="13.33203125" style="1" customWidth="1" outlineLevel="1"/>
    <col min="43" max="43" width="15.6640625" style="1" customWidth="1" outlineLevel="1"/>
    <col min="44" max="44" width="13.33203125" style="1" customWidth="1" outlineLevel="1"/>
    <col min="45" max="45" width="15.6640625" style="1" customWidth="1" outlineLevel="1"/>
    <col min="46" max="46" width="13.33203125" style="1" customWidth="1" outlineLevel="1"/>
    <col min="47" max="47" width="15.6640625" style="1" customWidth="1" outlineLevel="1"/>
    <col min="48" max="48" width="13.33203125" style="1" customWidth="1" outlineLevel="1"/>
    <col min="49" max="49" width="15.6640625" style="1" customWidth="1" outlineLevel="1"/>
    <col min="50" max="123" width="8.88671875" style="1" customWidth="1" outlineLevel="1"/>
    <col min="124" max="124" width="12.33203125" style="1" customWidth="1"/>
    <col min="125" max="125" width="13.33203125" style="1" customWidth="1"/>
    <col min="126" max="126" width="8.88671875" style="1"/>
    <col min="127" max="128" width="8" style="1"/>
    <col min="129" max="16384" width="8.88671875" style="1"/>
  </cols>
  <sheetData>
    <row r="2" spans="2:125">
      <c r="F2" s="52" t="s">
        <v>171</v>
      </c>
      <c r="G2" s="52" t="s">
        <v>172</v>
      </c>
      <c r="H2" s="52" t="s">
        <v>173</v>
      </c>
    </row>
    <row r="3" spans="2:125">
      <c r="F3" s="102" t="str">
        <f>IF(財産処分報告用!$K$3="","-",財産処分報告用!$K$3)</f>
        <v>-</v>
      </c>
      <c r="G3" s="102" t="str">
        <f>IF(財産処分報告用!$L$3="","-",財産処分報告用!$L$3)</f>
        <v>-</v>
      </c>
      <c r="H3" s="102" t="str">
        <f>IF(財産処分報告用!$M$3="","-",財産処分報告用!$M$3)</f>
        <v>-</v>
      </c>
      <c r="M3" s="111"/>
      <c r="N3" s="111"/>
      <c r="O3" s="111"/>
      <c r="P3" s="111"/>
      <c r="Q3" s="111"/>
      <c r="R3" s="112"/>
      <c r="S3" s="58" t="s">
        <v>174</v>
      </c>
      <c r="T3" s="59"/>
      <c r="U3" s="59"/>
      <c r="V3" s="59"/>
      <c r="W3" s="105"/>
      <c r="X3" s="58" t="s">
        <v>175</v>
      </c>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63" t="s">
        <v>176</v>
      </c>
      <c r="DU3" s="64"/>
    </row>
    <row r="4" spans="2:125" ht="30">
      <c r="B4" s="42"/>
      <c r="C4" s="42"/>
      <c r="D4" s="42"/>
      <c r="E4" s="42"/>
      <c r="F4" s="42"/>
      <c r="G4" s="42"/>
      <c r="H4" s="42"/>
      <c r="I4" s="42"/>
      <c r="J4" s="42"/>
      <c r="K4" s="42"/>
      <c r="L4" s="42"/>
      <c r="M4" s="113"/>
      <c r="N4" s="113"/>
      <c r="O4" s="113"/>
      <c r="P4" s="113"/>
      <c r="Q4" s="113"/>
      <c r="R4" s="114"/>
      <c r="S4" s="104" t="s">
        <v>177</v>
      </c>
      <c r="T4" s="108" t="s">
        <v>178</v>
      </c>
      <c r="U4" s="59"/>
      <c r="V4" s="105"/>
      <c r="W4" s="107"/>
      <c r="X4" s="97">
        <f>IF(V4="",1,V4+1)</f>
        <v>1</v>
      </c>
      <c r="Y4" s="62"/>
      <c r="Z4" s="97">
        <f>IF(X4="",1,X4+1)</f>
        <v>2</v>
      </c>
      <c r="AA4" s="62"/>
      <c r="AB4" s="97">
        <f>IF(Z4="",1,Z4+1)</f>
        <v>3</v>
      </c>
      <c r="AC4" s="62"/>
      <c r="AD4" s="97">
        <f>IF(AB4="",1,AB4+1)</f>
        <v>4</v>
      </c>
      <c r="AE4" s="62"/>
      <c r="AF4" s="97">
        <f>IF(AD4="",1,AD4+1)</f>
        <v>5</v>
      </c>
      <c r="AG4" s="62"/>
      <c r="AH4" s="97">
        <f>IF(AF4="",1,AF4+1)</f>
        <v>6</v>
      </c>
      <c r="AI4" s="62"/>
      <c r="AJ4" s="97">
        <f>IF(AH4="",1,AH4+1)</f>
        <v>7</v>
      </c>
      <c r="AK4" s="62"/>
      <c r="AL4" s="97">
        <f>IF(AJ4="",1,AJ4+1)</f>
        <v>8</v>
      </c>
      <c r="AM4" s="62"/>
      <c r="AN4" s="97">
        <f>IF(AL4="",1,AL4+1)</f>
        <v>9</v>
      </c>
      <c r="AO4" s="62"/>
      <c r="AP4" s="97">
        <f>IF(AN4="",1,AN4+1)</f>
        <v>10</v>
      </c>
      <c r="AQ4" s="62"/>
      <c r="AR4" s="97">
        <f>IF(AP4="",1,AP4+1)</f>
        <v>11</v>
      </c>
      <c r="AS4" s="62"/>
      <c r="AT4" s="97">
        <f>IF(AR4="",1,AR4+1)</f>
        <v>12</v>
      </c>
      <c r="AU4" s="62"/>
      <c r="AV4" s="97">
        <f>IF(AT4="",1,AT4+1)</f>
        <v>13</v>
      </c>
      <c r="AW4" s="62"/>
      <c r="AX4" s="97">
        <f>IF(AV4="",1,AV4+1)</f>
        <v>14</v>
      </c>
      <c r="AY4" s="62"/>
      <c r="AZ4" s="97">
        <f>IF(AX4="",1,AX4+1)</f>
        <v>15</v>
      </c>
      <c r="BA4" s="62"/>
      <c r="BB4" s="97">
        <f>IF(AZ4="",1,AZ4+1)</f>
        <v>16</v>
      </c>
      <c r="BC4" s="62"/>
      <c r="BD4" s="97">
        <f>IF(BB4="",1,BB4+1)</f>
        <v>17</v>
      </c>
      <c r="BE4" s="62"/>
      <c r="BF4" s="97">
        <f>IF(BD4="",1,BD4+1)</f>
        <v>18</v>
      </c>
      <c r="BG4" s="62"/>
      <c r="BH4" s="97">
        <f>IF(BF4="",1,BF4+1)</f>
        <v>19</v>
      </c>
      <c r="BI4" s="62"/>
      <c r="BJ4" s="97">
        <f>IF(BH4="",1,BH4+1)</f>
        <v>20</v>
      </c>
      <c r="BK4" s="62"/>
      <c r="BL4" s="97">
        <f>IF(BJ4="",1,BJ4+1)</f>
        <v>21</v>
      </c>
      <c r="BM4" s="62"/>
      <c r="BN4" s="97">
        <f>IF(BL4="",1,BL4+1)</f>
        <v>22</v>
      </c>
      <c r="BO4" s="62"/>
      <c r="BP4" s="97">
        <f>IF(BN4="",1,BN4+1)</f>
        <v>23</v>
      </c>
      <c r="BQ4" s="62"/>
      <c r="BR4" s="97">
        <f>IF(BP4="",1,BP4+1)</f>
        <v>24</v>
      </c>
      <c r="BS4" s="62"/>
      <c r="BT4" s="97">
        <f>IF(BR4="",1,BR4+1)</f>
        <v>25</v>
      </c>
      <c r="BU4" s="62"/>
      <c r="BV4" s="97">
        <f>IF(BT4="",1,BT4+1)</f>
        <v>26</v>
      </c>
      <c r="BW4" s="62"/>
      <c r="BX4" s="97">
        <f>IF(BV4="",1,BV4+1)</f>
        <v>27</v>
      </c>
      <c r="BY4" s="62"/>
      <c r="BZ4" s="97">
        <f>IF(BX4="",1,BX4+1)</f>
        <v>28</v>
      </c>
      <c r="CA4" s="62"/>
      <c r="CB4" s="97">
        <f>IF(BZ4="",1,BZ4+1)</f>
        <v>29</v>
      </c>
      <c r="CC4" s="62"/>
      <c r="CD4" s="97">
        <f>IF(CB4="",1,CB4+1)</f>
        <v>30</v>
      </c>
      <c r="CE4" s="62"/>
      <c r="CF4" s="97">
        <f>IF(CD4="",1,CD4+1)</f>
        <v>31</v>
      </c>
      <c r="CG4" s="62"/>
      <c r="CH4" s="97">
        <f>IF(CF4="",1,CF4+1)</f>
        <v>32</v>
      </c>
      <c r="CI4" s="62"/>
      <c r="CJ4" s="97">
        <f>IF(CH4="",1,CH4+1)</f>
        <v>33</v>
      </c>
      <c r="CK4" s="62"/>
      <c r="CL4" s="97">
        <f>IF(CJ4="",1,CJ4+1)</f>
        <v>34</v>
      </c>
      <c r="CM4" s="62"/>
      <c r="CN4" s="97">
        <f>IF(CL4="",1,CL4+1)</f>
        <v>35</v>
      </c>
      <c r="CO4" s="62"/>
      <c r="CP4" s="97">
        <f>IF(CN4="",1,CN4+1)</f>
        <v>36</v>
      </c>
      <c r="CQ4" s="62"/>
      <c r="CR4" s="97">
        <f>IF(CP4="",1,CP4+1)</f>
        <v>37</v>
      </c>
      <c r="CS4" s="62"/>
      <c r="CT4" s="97">
        <f>IF(CR4="",1,CR4+1)</f>
        <v>38</v>
      </c>
      <c r="CU4" s="62"/>
      <c r="CV4" s="97">
        <f>IF(CT4="",1,CT4+1)</f>
        <v>39</v>
      </c>
      <c r="CW4" s="62"/>
      <c r="CX4" s="97">
        <f>IF(CV4="",1,CV4+1)</f>
        <v>40</v>
      </c>
      <c r="CY4" s="62"/>
      <c r="CZ4" s="97">
        <f>IF(CX4="",1,CX4+1)</f>
        <v>41</v>
      </c>
      <c r="DA4" s="62"/>
      <c r="DB4" s="97">
        <f>IF(CZ4="",1,CZ4+1)</f>
        <v>42</v>
      </c>
      <c r="DC4" s="62"/>
      <c r="DD4" s="97">
        <f>IF(DB4="",1,DB4+1)</f>
        <v>43</v>
      </c>
      <c r="DE4" s="62"/>
      <c r="DF4" s="97">
        <f>IF(DD4="",1,DD4+1)</f>
        <v>44</v>
      </c>
      <c r="DG4" s="62"/>
      <c r="DH4" s="97">
        <f>IF(DF4="",1,DF4+1)</f>
        <v>45</v>
      </c>
      <c r="DI4" s="62"/>
      <c r="DJ4" s="97">
        <f>IF(DH4="",1,DH4+1)</f>
        <v>46</v>
      </c>
      <c r="DK4" s="62"/>
      <c r="DL4" s="97">
        <f>IF(DJ4="",1,DJ4+1)</f>
        <v>47</v>
      </c>
      <c r="DM4" s="62"/>
      <c r="DN4" s="97">
        <f>IF(DL4="",1,DL4+1)</f>
        <v>48</v>
      </c>
      <c r="DO4" s="62"/>
      <c r="DP4" s="97">
        <f>IF(DN4="",1,DN4+1)</f>
        <v>49</v>
      </c>
      <c r="DQ4" s="62"/>
      <c r="DR4" s="97">
        <f>IF(DP4="",1,DP4+1)</f>
        <v>50</v>
      </c>
      <c r="DS4" s="62"/>
      <c r="DT4" s="60" t="s">
        <v>179</v>
      </c>
      <c r="DU4" s="60" t="s">
        <v>180</v>
      </c>
    </row>
    <row r="5" spans="2:125" ht="45">
      <c r="B5" s="51" t="s">
        <v>106</v>
      </c>
      <c r="C5" s="52" t="s">
        <v>181</v>
      </c>
      <c r="D5" s="52" t="s">
        <v>182</v>
      </c>
      <c r="E5" s="52" t="s">
        <v>183</v>
      </c>
      <c r="F5" s="52" t="s">
        <v>184</v>
      </c>
      <c r="G5" s="52" t="s">
        <v>185</v>
      </c>
      <c r="H5" s="52" t="s">
        <v>186</v>
      </c>
      <c r="I5" s="53" t="s">
        <v>187</v>
      </c>
      <c r="J5" s="53" t="s">
        <v>188</v>
      </c>
      <c r="K5" s="53" t="s">
        <v>189</v>
      </c>
      <c r="L5" s="53" t="s">
        <v>190</v>
      </c>
      <c r="M5" s="106" t="s">
        <v>191</v>
      </c>
      <c r="N5" s="106" t="s">
        <v>192</v>
      </c>
      <c r="O5" s="106" t="s">
        <v>193</v>
      </c>
      <c r="P5" s="106" t="s">
        <v>194</v>
      </c>
      <c r="Q5" s="106" t="s">
        <v>195</v>
      </c>
      <c r="R5" s="106" t="s">
        <v>196</v>
      </c>
      <c r="S5" s="104" t="s">
        <v>197</v>
      </c>
      <c r="T5" s="104" t="s">
        <v>198</v>
      </c>
      <c r="U5" s="104" t="s">
        <v>199</v>
      </c>
      <c r="V5" s="104" t="s">
        <v>200</v>
      </c>
      <c r="W5" s="109" t="s">
        <v>201</v>
      </c>
      <c r="X5" s="53" t="s">
        <v>202</v>
      </c>
      <c r="Y5" s="53" t="s">
        <v>203</v>
      </c>
      <c r="Z5" s="53" t="s">
        <v>202</v>
      </c>
      <c r="AA5" s="53" t="s">
        <v>203</v>
      </c>
      <c r="AB5" s="53" t="s">
        <v>202</v>
      </c>
      <c r="AC5" s="53" t="s">
        <v>203</v>
      </c>
      <c r="AD5" s="53" t="s">
        <v>202</v>
      </c>
      <c r="AE5" s="53" t="s">
        <v>203</v>
      </c>
      <c r="AF5" s="53" t="s">
        <v>202</v>
      </c>
      <c r="AG5" s="53" t="s">
        <v>203</v>
      </c>
      <c r="AH5" s="53" t="s">
        <v>202</v>
      </c>
      <c r="AI5" s="53" t="s">
        <v>203</v>
      </c>
      <c r="AJ5" s="53" t="s">
        <v>202</v>
      </c>
      <c r="AK5" s="53" t="s">
        <v>203</v>
      </c>
      <c r="AL5" s="53" t="s">
        <v>202</v>
      </c>
      <c r="AM5" s="53" t="s">
        <v>203</v>
      </c>
      <c r="AN5" s="53" t="s">
        <v>202</v>
      </c>
      <c r="AO5" s="53" t="s">
        <v>203</v>
      </c>
      <c r="AP5" s="53" t="s">
        <v>202</v>
      </c>
      <c r="AQ5" s="53" t="s">
        <v>203</v>
      </c>
      <c r="AR5" s="53" t="s">
        <v>202</v>
      </c>
      <c r="AS5" s="53" t="s">
        <v>203</v>
      </c>
      <c r="AT5" s="53" t="s">
        <v>202</v>
      </c>
      <c r="AU5" s="53" t="s">
        <v>203</v>
      </c>
      <c r="AV5" s="53" t="s">
        <v>202</v>
      </c>
      <c r="AW5" s="53" t="s">
        <v>203</v>
      </c>
      <c r="AX5" s="53" t="s">
        <v>202</v>
      </c>
      <c r="AY5" s="53" t="s">
        <v>203</v>
      </c>
      <c r="AZ5" s="53" t="s">
        <v>202</v>
      </c>
      <c r="BA5" s="53" t="s">
        <v>203</v>
      </c>
      <c r="BB5" s="53" t="s">
        <v>202</v>
      </c>
      <c r="BC5" s="53" t="s">
        <v>203</v>
      </c>
      <c r="BD5" s="53" t="s">
        <v>202</v>
      </c>
      <c r="BE5" s="53" t="s">
        <v>203</v>
      </c>
      <c r="BF5" s="53" t="s">
        <v>202</v>
      </c>
      <c r="BG5" s="53" t="s">
        <v>203</v>
      </c>
      <c r="BH5" s="53" t="s">
        <v>202</v>
      </c>
      <c r="BI5" s="53" t="s">
        <v>203</v>
      </c>
      <c r="BJ5" s="53" t="s">
        <v>202</v>
      </c>
      <c r="BK5" s="53" t="s">
        <v>203</v>
      </c>
      <c r="BL5" s="53" t="s">
        <v>202</v>
      </c>
      <c r="BM5" s="53" t="s">
        <v>203</v>
      </c>
      <c r="BN5" s="53" t="s">
        <v>202</v>
      </c>
      <c r="BO5" s="53" t="s">
        <v>203</v>
      </c>
      <c r="BP5" s="53" t="s">
        <v>202</v>
      </c>
      <c r="BQ5" s="53" t="s">
        <v>203</v>
      </c>
      <c r="BR5" s="53" t="s">
        <v>202</v>
      </c>
      <c r="BS5" s="53" t="s">
        <v>203</v>
      </c>
      <c r="BT5" s="53" t="s">
        <v>202</v>
      </c>
      <c r="BU5" s="53" t="s">
        <v>203</v>
      </c>
      <c r="BV5" s="53" t="s">
        <v>202</v>
      </c>
      <c r="BW5" s="53" t="s">
        <v>203</v>
      </c>
      <c r="BX5" s="53" t="s">
        <v>202</v>
      </c>
      <c r="BY5" s="53" t="s">
        <v>203</v>
      </c>
      <c r="BZ5" s="53" t="s">
        <v>202</v>
      </c>
      <c r="CA5" s="53" t="s">
        <v>203</v>
      </c>
      <c r="CB5" s="53" t="s">
        <v>202</v>
      </c>
      <c r="CC5" s="53" t="s">
        <v>203</v>
      </c>
      <c r="CD5" s="53" t="s">
        <v>202</v>
      </c>
      <c r="CE5" s="53" t="s">
        <v>203</v>
      </c>
      <c r="CF5" s="53" t="s">
        <v>202</v>
      </c>
      <c r="CG5" s="53" t="s">
        <v>203</v>
      </c>
      <c r="CH5" s="53" t="s">
        <v>202</v>
      </c>
      <c r="CI5" s="53" t="s">
        <v>203</v>
      </c>
      <c r="CJ5" s="53" t="s">
        <v>202</v>
      </c>
      <c r="CK5" s="53" t="s">
        <v>203</v>
      </c>
      <c r="CL5" s="53" t="s">
        <v>202</v>
      </c>
      <c r="CM5" s="53" t="s">
        <v>203</v>
      </c>
      <c r="CN5" s="53" t="s">
        <v>202</v>
      </c>
      <c r="CO5" s="53" t="s">
        <v>203</v>
      </c>
      <c r="CP5" s="53" t="s">
        <v>202</v>
      </c>
      <c r="CQ5" s="53" t="s">
        <v>203</v>
      </c>
      <c r="CR5" s="53" t="s">
        <v>202</v>
      </c>
      <c r="CS5" s="53" t="s">
        <v>203</v>
      </c>
      <c r="CT5" s="53" t="s">
        <v>202</v>
      </c>
      <c r="CU5" s="53" t="s">
        <v>203</v>
      </c>
      <c r="CV5" s="53" t="s">
        <v>202</v>
      </c>
      <c r="CW5" s="53" t="s">
        <v>203</v>
      </c>
      <c r="CX5" s="53" t="s">
        <v>202</v>
      </c>
      <c r="CY5" s="53" t="s">
        <v>203</v>
      </c>
      <c r="CZ5" s="53" t="s">
        <v>202</v>
      </c>
      <c r="DA5" s="53" t="s">
        <v>203</v>
      </c>
      <c r="DB5" s="53" t="s">
        <v>202</v>
      </c>
      <c r="DC5" s="53" t="s">
        <v>203</v>
      </c>
      <c r="DD5" s="53" t="s">
        <v>202</v>
      </c>
      <c r="DE5" s="53" t="s">
        <v>203</v>
      </c>
      <c r="DF5" s="53" t="s">
        <v>202</v>
      </c>
      <c r="DG5" s="53" t="s">
        <v>203</v>
      </c>
      <c r="DH5" s="53" t="s">
        <v>202</v>
      </c>
      <c r="DI5" s="53" t="s">
        <v>203</v>
      </c>
      <c r="DJ5" s="53" t="s">
        <v>202</v>
      </c>
      <c r="DK5" s="53" t="s">
        <v>203</v>
      </c>
      <c r="DL5" s="53" t="s">
        <v>202</v>
      </c>
      <c r="DM5" s="53" t="s">
        <v>203</v>
      </c>
      <c r="DN5" s="53" t="s">
        <v>202</v>
      </c>
      <c r="DO5" s="53" t="s">
        <v>203</v>
      </c>
      <c r="DP5" s="53" t="s">
        <v>202</v>
      </c>
      <c r="DQ5" s="53" t="s">
        <v>203</v>
      </c>
      <c r="DR5" s="53" t="s">
        <v>202</v>
      </c>
      <c r="DS5" s="53" t="s">
        <v>203</v>
      </c>
      <c r="DT5" s="61"/>
      <c r="DU5" s="61"/>
    </row>
    <row r="6" spans="2:125">
      <c r="B6" s="54">
        <v>1</v>
      </c>
      <c r="C6" s="55" t="str">
        <f>IF(財産処分報告用!$C6="","-",財産処分報告用!$C6)</f>
        <v>-</v>
      </c>
      <c r="D6" s="55" t="str">
        <f>財産処分報告用!$E6</f>
        <v>-</v>
      </c>
      <c r="E6" s="56" t="str">
        <f>IF(財産処分報告用!$J6="","-",財産処分報告用!$J6)</f>
        <v>-</v>
      </c>
      <c r="F6" s="101" t="str">
        <f>IF(財産処分報告用!$K6="","-",財産処分報告用!$K6)</f>
        <v>-</v>
      </c>
      <c r="G6" s="101" t="str">
        <f>IF(財産処分報告用!$L6="","-",財産処分報告用!$L6)</f>
        <v>-</v>
      </c>
      <c r="H6" s="55" t="str">
        <f>IF(財産処分報告用!$M6="","-",財産処分報告用!$M6)</f>
        <v>-</v>
      </c>
      <c r="I6" s="55" t="str">
        <f>IF(OR($D6="-",$H6="-"),"-",INDEX(リスト!$AG$2:$AI$101,MATCH($D6,リスト!$AG$2:$AG$101,0),MATCH($H6,リスト!$AG$2:$AI$2,0)))</f>
        <v>-</v>
      </c>
      <c r="J6" s="55" t="str">
        <f>IF(OR($D6="-",$H6="-"),"-",IF($H6=リスト!$AA$4,"-",INDEX(リスト!$AG$2:$AK$101,MATCH($D6,リスト!$AG$2:$AG$101,0),4)))</f>
        <v>-</v>
      </c>
      <c r="K6" s="55" t="str">
        <f>IF(OR($D6="-",$H6="-"),"-",IF($H6=リスト!$AA$4,"-",INDEX(リスト!$AG$2:$AK$101,MATCH($D6,リスト!$AG$2:$AG$101,0),5)))</f>
        <v>-</v>
      </c>
      <c r="L6" s="56" t="str">
        <f t="shared" ref="L6:L25" si="0">IF(OR($E6="-",$K6="-"),"-",$E6*$K6)</f>
        <v>-</v>
      </c>
      <c r="M6" s="101" t="str">
        <f>IF(OR($F6="-",$G6="-",$F$3="-"),"-",
   IF($G$3="-",
   IF($F6&lt;=DATE(YEAR($F6),$F$3+1,0),DATE(YEAR($F6),$F$3+1,0),DATE(YEAR($F6)+1,$F$3+1,0)),
   IF($F6&lt;=DATE(YEAR($F6),$F$3,$G$3),DATE(YEAR($F6),$F$3,$G$3),DATE(YEAR($F6)+1,$F$3,$G$3))
))</f>
        <v>-</v>
      </c>
      <c r="N6" s="101" t="str">
        <f>IF(OR($F6="-",$G6="-",$F$3="-"),"-",
   IF($G$3="-",
   IF($G6&lt;=DATE(YEAR($G6),$F$3+1,0),DATE(YEAR($G6),$F$3+1,0),DATE(YEAR($G6)+1,$F$3+1,0)),
   IF($G6&lt;=DATE(YEAR($G6),$F$3,$G$3),DATE(YEAR($G6),$F$3,$G$3),DATE(YEAR($G6)+1,$F$3,$G$3))
))</f>
        <v>-</v>
      </c>
      <c r="O6" s="101" t="str">
        <f>IF(OR($F6="-",$G6="-",$F$3="-"),"-",
   IF($G$3="-",
   DATE(YEAR($N6)-1,$F$3+1,0)+1,
   DATE(YEAR($N6)-1,$F$3,$G$3)+1
))</f>
        <v>-</v>
      </c>
      <c r="P6" s="102" t="str">
        <f>IF($C6="-","-",
 (YEAR($G6)+IF($G$3="-",
   IF(MONTH($G6)&gt;$F$3,1,0),
   IF(OR(MONTH($G6)&gt;$F$3,AND(MONTH($G6)=$F$3,DAY($G6)&gt;$G$3)),1,0)
 ))
 -(YEAR($F6)+IF($G$3="-",
   IF(MONTH($F6)&gt;$F$3,1,0),
   IF(OR(MONTH($F6)&gt;$F$3,AND(MONTH($F6)=$F$3,DAY($F6)&gt;$G$3)),1,0)
 ))
 +1
)</f>
        <v>-</v>
      </c>
      <c r="Q6" s="115" t="str">
        <f>IF($C6="-","-",
 $M6-IF($G$3="-",
        DATE(YEAR($M6)-1,$F$3+1,0),
        DATE(YEAR($M6)-1,$F$3,$G$3)
))</f>
        <v>-</v>
      </c>
      <c r="R6" s="116" t="str">
        <f>IF($C6="-","-",
 $N6-$O6+1
)</f>
        <v>-</v>
      </c>
      <c r="S6" s="102" t="str">
        <f>IF(OR($F6="-",$G6="-",$F$3="-"),"-",
   MAX(0,12*(YEAR($G6)-YEAR($F6))+MONTH($G6)-MONTH($F6)+IF(DAY($G6)&gt;=DAY($F6),1,0))
)</f>
        <v>-</v>
      </c>
      <c r="T6" s="102" t="str">
        <f>IF(OR($F6="-",$G6="-",$F$3="-"),"-",
   MAX(0,12*(YEAR($M6)-YEAR($F6))+MONTH($M6)-MONTH($F6)+IF(DAY($M6)&gt;=DAY($F6),1,0))
)</f>
        <v>-</v>
      </c>
      <c r="U6" s="102" t="str">
        <f>IF(OR($F6="-",$G6="-",$F$3="-"),"-",
   MAX(0,12*(YEAR($G6)-YEAR($O6))+MONTH($G6)-MONTH($O6)+IF(DAY($G6)&gt;=DAY($O6),1,0))
)</f>
        <v>-</v>
      </c>
      <c r="V6" s="102" t="str">
        <f>IF(OR($F6="-",$G6="-",$F$3="-"),"-",
   MAX(0,YEAR($N6)-YEAR($M6)-1)*12
)</f>
        <v>-</v>
      </c>
      <c r="W6" s="55" t="str">
        <f>IF(OR($F6="-",$G6="-",$F$3="-"),"-",
   IF(OR($F6="-",$G6="-",$G6&lt;$F6),"-",
   IF($M6=$N6,$S6,$T6+$V6+$U6)
))</f>
        <v>-</v>
      </c>
      <c r="X6" s="56" t="str">
        <f ca="1">IF($H6=リスト!$AA$4,"-",
   IF($C6="-","-",
     IF(X$4&gt;$P6,"-",
       IF(X$4=1,$E6,OFFSET(X6,0,-2)-OFFSET(X6,0,-1)
))))</f>
        <v>-</v>
      </c>
      <c r="Y6" s="57" t="str">
        <f>IF($H6=リスト!$AA$4,"-",
 IF($C6="-","-",
  IF(X$4&gt;$P6,"-",
   CHOOSE(MATCH($H$3,リスト!$AE$3:$AE$5,0),
    ROUNDUP(
      X6*IF(X6*$I6&lt;=$L6,$J6,$I6)*
      IF($P6=1,
         $S6/12,
         IF(X$4=1,
            $T6/12,
            IF(X$4=$P6,
               $U6/12,
               1
      ))),0),
    ROUNDDOWN(
      X6*IF(X6*$I6&lt;=$L6,$J6,$I6)*
      IF($P6=1,
         $S6/12,
         IF(X$4=1,
            $T6/12,
            IF(X$4=$P6,
               $U6/12,
               1
      ))),0),
    ROUND(
      X6*IF(X6*$I6&lt;=$L6,$J6,$I6)*
      IF($P6=1,
         $S6/12,
         IF(X$4=1,
            $T6/12,
            IF(X$4=$P6,
               $U6/12,
               1
      ))),0)
))))</f>
        <v>-</v>
      </c>
      <c r="Z6" s="56" t="str">
        <f ca="1">IF($H6=リスト!$AA$4,"-",
   IF($C6="-","-",
     IF(Z$4&gt;$P6,"-",
       IF(Z$4=1,$E6,OFFSET(Z6,0,-2)-OFFSET(Z6,0,-1)
))))</f>
        <v>-</v>
      </c>
      <c r="AA6" s="57" t="str">
        <f>IF($H6=リスト!$AA$4,"-",
 IF($C6="-","-",
  IF(Z$4&gt;$P6,"-",
   CHOOSE(MATCH($H$3,リスト!$AE$3:$AE$5,0),
    ROUNDUP(
      Z6*IF(Z6*$I6&lt;=$L6,$J6,$I6)*
      IF($P6=1,
         $S6/12,
         IF(Z$4=1,
            $T6/12,
            IF(Z$4=$P6,
               $U6/12,
               1
      ))),0),
    ROUNDDOWN(
      Z6*IF(Z6*$I6&lt;=$L6,$J6,$I6)*
      IF($P6=1,
         $S6/12,
         IF(Z$4=1,
            $T6/12,
            IF(Z$4=$P6,
               $U6/12,
               1
      ))),0),
    ROUND(
      Z6*IF(Z6*$I6&lt;=$L6,$J6,$I6)*
      IF($P6=1,
         $S6/12,
         IF(Z$4=1,
            $T6/12,
            IF(Z$4=$P6,
               $U6/12,
               1
      ))),0)
))))</f>
        <v>-</v>
      </c>
      <c r="AB6" s="56" t="str">
        <f ca="1">IF($H6=リスト!$AA$4,"-",
   IF($C6="-","-",
     IF(AB$4&gt;$P6,"-",
       IF(AB$4=1,$E6,OFFSET(AB6,0,-2)-OFFSET(AB6,0,-1)
))))</f>
        <v>-</v>
      </c>
      <c r="AC6" s="57" t="str">
        <f>IF($H6=リスト!$AA$4,"-",
 IF($C6="-","-",
  IF(AB$4&gt;$P6,"-",
   CHOOSE(MATCH($H$3,リスト!$AE$3:$AE$5,0),
    ROUNDUP(
      AB6*IF(AB6*$I6&lt;=$L6,$J6,$I6)*
      IF($P6=1,
         $S6/12,
         IF(AB$4=1,
            $T6/12,
            IF(AB$4=$P6,
               $U6/12,
               1
      ))),0),
    ROUNDDOWN(
      AB6*IF(AB6*$I6&lt;=$L6,$J6,$I6)*
      IF($P6=1,
         $S6/12,
         IF(AB$4=1,
            $T6/12,
            IF(AB$4=$P6,
               $U6/12,
               1
      ))),0),
    ROUND(
      AB6*IF(AB6*$I6&lt;=$L6,$J6,$I6)*
      IF($P6=1,
         $S6/12,
         IF(AB$4=1,
            $T6/12,
            IF(AB$4=$P6,
               $U6/12,
               1
      ))),0)
))))</f>
        <v>-</v>
      </c>
      <c r="AD6" s="56" t="str">
        <f ca="1">IF($H6=リスト!$AA$4,"-",
   IF($C6="-","-",
     IF(AD$4&gt;$P6,"-",
       IF(AD$4=1,$E6,OFFSET(AD6,0,-2)-OFFSET(AD6,0,-1)
))))</f>
        <v>-</v>
      </c>
      <c r="AE6" s="57" t="str">
        <f>IF($H6=リスト!$AA$4,"-",
 IF($C6="-","-",
  IF(AD$4&gt;$P6,"-",
   CHOOSE(MATCH($H$3,リスト!$AE$3:$AE$5,0),
    ROUNDUP(
      AD6*IF(AD6*$I6&lt;=$L6,$J6,$I6)*
      IF($P6=1,
         $S6/12,
         IF(AD$4=1,
            $T6/12,
            IF(AD$4=$P6,
               $U6/12,
               1
      ))),0),
    ROUNDDOWN(
      AD6*IF(AD6*$I6&lt;=$L6,$J6,$I6)*
      IF($P6=1,
         $S6/12,
         IF(AD$4=1,
            $T6/12,
            IF(AD$4=$P6,
               $U6/12,
               1
      ))),0),
    ROUND(
      AD6*IF(AD6*$I6&lt;=$L6,$J6,$I6)*
      IF($P6=1,
         $S6/12,
         IF(AD$4=1,
            $T6/12,
            IF(AD$4=$P6,
               $U6/12,
               1
      ))),0)
))))</f>
        <v>-</v>
      </c>
      <c r="AF6" s="56" t="str">
        <f ca="1">IF($H6=リスト!$AA$4,"-",
   IF($C6="-","-",
     IF(AF$4&gt;$P6,"-",
       IF(AF$4=1,$E6,OFFSET(AF6,0,-2)-OFFSET(AF6,0,-1)
))))</f>
        <v>-</v>
      </c>
      <c r="AG6" s="57" t="str">
        <f>IF($H6=リスト!$AA$4,"-",
 IF($C6="-","-",
  IF(AF$4&gt;$P6,"-",
   CHOOSE(MATCH($H$3,リスト!$AE$3:$AE$5,0),
    ROUNDUP(
      AF6*IF(AF6*$I6&lt;=$L6,$J6,$I6)*
      IF($P6=1,
         $S6/12,
         IF(AF$4=1,
            $T6/12,
            IF(AF$4=$P6,
               $U6/12,
               1
      ))),0),
    ROUNDDOWN(
      AF6*IF(AF6*$I6&lt;=$L6,$J6,$I6)*
      IF($P6=1,
         $S6/12,
         IF(AF$4=1,
            $T6/12,
            IF(AF$4=$P6,
               $U6/12,
               1
      ))),0),
    ROUND(
      AF6*IF(AF6*$I6&lt;=$L6,$J6,$I6)*
      IF($P6=1,
         $S6/12,
         IF(AF$4=1,
            $T6/12,
            IF(AF$4=$P6,
               $U6/12,
               1
      ))),0)
))))</f>
        <v>-</v>
      </c>
      <c r="AH6" s="56" t="str">
        <f ca="1">IF($H6=リスト!$AA$4,"-",
   IF($C6="-","-",
     IF(AH$4&gt;$P6,"-",
       IF(AH$4=1,$E6,OFFSET(AH6,0,-2)-OFFSET(AH6,0,-1)
))))</f>
        <v>-</v>
      </c>
      <c r="AI6" s="57" t="str">
        <f>IF($H6=リスト!$AA$4,"-",
 IF($C6="-","-",
  IF(AH$4&gt;$P6,"-",
   CHOOSE(MATCH($H$3,リスト!$AE$3:$AE$5,0),
    ROUNDUP(
      AH6*IF(AH6*$I6&lt;=$L6,$J6,$I6)*
      IF($P6=1,
         $S6/12,
         IF(AH$4=1,
            $T6/12,
            IF(AH$4=$P6,
               $U6/12,
               1
      ))),0),
    ROUNDDOWN(
      AH6*IF(AH6*$I6&lt;=$L6,$J6,$I6)*
      IF($P6=1,
         $S6/12,
         IF(AH$4=1,
            $T6/12,
            IF(AH$4=$P6,
               $U6/12,
               1
      ))),0),
    ROUND(
      AH6*IF(AH6*$I6&lt;=$L6,$J6,$I6)*
      IF($P6=1,
         $S6/12,
         IF(AH$4=1,
            $T6/12,
            IF(AH$4=$P6,
               $U6/12,
               1
      ))),0)
))))</f>
        <v>-</v>
      </c>
      <c r="AJ6" s="56" t="str">
        <f ca="1">IF($H6=リスト!$AA$4,"-",
   IF($C6="-","-",
     IF(AJ$4&gt;$P6,"-",
       IF(AJ$4=1,$E6,OFFSET(AJ6,0,-2)-OFFSET(AJ6,0,-1)
))))</f>
        <v>-</v>
      </c>
      <c r="AK6" s="57" t="str">
        <f>IF($H6=リスト!$AA$4,"-",
 IF($C6="-","-",
  IF(AJ$4&gt;$P6,"-",
   CHOOSE(MATCH($H$3,リスト!$AE$3:$AE$5,0),
    ROUNDUP(
      AJ6*IF(AJ6*$I6&lt;=$L6,$J6,$I6)*
      IF($P6=1,
         $S6/12,
         IF(AJ$4=1,
            $T6/12,
            IF(AJ$4=$P6,
               $U6/12,
               1
      ))),0),
    ROUNDDOWN(
      AJ6*IF(AJ6*$I6&lt;=$L6,$J6,$I6)*
      IF($P6=1,
         $S6/12,
         IF(AJ$4=1,
            $T6/12,
            IF(AJ$4=$P6,
               $U6/12,
               1
      ))),0),
    ROUND(
      AJ6*IF(AJ6*$I6&lt;=$L6,$J6,$I6)*
      IF($P6=1,
         $S6/12,
         IF(AJ$4=1,
            $T6/12,
            IF(AJ$4=$P6,
               $U6/12,
               1
      ))),0)
))))</f>
        <v>-</v>
      </c>
      <c r="AL6" s="56" t="str">
        <f ca="1">IF($H6=リスト!$AA$4,"-",
   IF($C6="-","-",
     IF(AL$4&gt;$P6,"-",
       IF(AL$4=1,$E6,OFFSET(AL6,0,-2)-OFFSET(AL6,0,-1)
))))</f>
        <v>-</v>
      </c>
      <c r="AM6" s="57" t="str">
        <f>IF($H6=リスト!$AA$4,"-",
 IF($C6="-","-",
  IF(AL$4&gt;$P6,"-",
   CHOOSE(MATCH($H$3,リスト!$AE$3:$AE$5,0),
    ROUNDUP(
      AL6*IF(AL6*$I6&lt;=$L6,$J6,$I6)*
      IF($P6=1,
         $S6/12,
         IF(AL$4=1,
            $T6/12,
            IF(AL$4=$P6,
               $U6/12,
               1
      ))),0),
    ROUNDDOWN(
      AL6*IF(AL6*$I6&lt;=$L6,$J6,$I6)*
      IF($P6=1,
         $S6/12,
         IF(AL$4=1,
            $T6/12,
            IF(AL$4=$P6,
               $U6/12,
               1
      ))),0),
    ROUND(
      AL6*IF(AL6*$I6&lt;=$L6,$J6,$I6)*
      IF($P6=1,
         $S6/12,
         IF(AL$4=1,
            $T6/12,
            IF(AL$4=$P6,
               $U6/12,
               1
      ))),0)
))))</f>
        <v>-</v>
      </c>
      <c r="AN6" s="56" t="str">
        <f ca="1">IF($H6=リスト!$AA$4,"-",
   IF($C6="-","-",
     IF(AN$4&gt;$P6,"-",
       IF(AN$4=1,$E6,OFFSET(AN6,0,-2)-OFFSET(AN6,0,-1)
))))</f>
        <v>-</v>
      </c>
      <c r="AO6" s="57" t="str">
        <f>IF($H6=リスト!$AA$4,"-",
 IF($C6="-","-",
  IF(AN$4&gt;$P6,"-",
   CHOOSE(MATCH($H$3,リスト!$AE$3:$AE$5,0),
    ROUNDUP(
      AN6*IF(AN6*$I6&lt;=$L6,$J6,$I6)*
      IF($P6=1,
         $S6/12,
         IF(AN$4=1,
            $T6/12,
            IF(AN$4=$P6,
               $U6/12,
               1
      ))),0),
    ROUNDDOWN(
      AN6*IF(AN6*$I6&lt;=$L6,$J6,$I6)*
      IF($P6=1,
         $S6/12,
         IF(AN$4=1,
            $T6/12,
            IF(AN$4=$P6,
               $U6/12,
               1
      ))),0),
    ROUND(
      AN6*IF(AN6*$I6&lt;=$L6,$J6,$I6)*
      IF($P6=1,
         $S6/12,
         IF(AN$4=1,
            $T6/12,
            IF(AN$4=$P6,
               $U6/12,
               1
      ))),0)
))))</f>
        <v>-</v>
      </c>
      <c r="AP6" s="56" t="str">
        <f ca="1">IF($H6=リスト!$AA$4,"-",
   IF($C6="-","-",
     IF(AP$4&gt;$P6,"-",
       IF(AP$4=1,$E6,OFFSET(AP6,0,-2)-OFFSET(AP6,0,-1)
))))</f>
        <v>-</v>
      </c>
      <c r="AQ6" s="57" t="str">
        <f>IF($H6=リスト!$AA$4,"-",
 IF($C6="-","-",
  IF(AP$4&gt;$P6,"-",
   CHOOSE(MATCH($H$3,リスト!$AE$3:$AE$5,0),
    ROUNDUP(
      AP6*IF(AP6*$I6&lt;=$L6,$J6,$I6)*
      IF($P6=1,
         $S6/12,
         IF(AP$4=1,
            $T6/12,
            IF(AP$4=$P6,
               $U6/12,
               1
      ))),0),
    ROUNDDOWN(
      AP6*IF(AP6*$I6&lt;=$L6,$J6,$I6)*
      IF($P6=1,
         $S6/12,
         IF(AP$4=1,
            $T6/12,
            IF(AP$4=$P6,
               $U6/12,
               1
      ))),0),
    ROUND(
      AP6*IF(AP6*$I6&lt;=$L6,$J6,$I6)*
      IF($P6=1,
         $S6/12,
         IF(AP$4=1,
            $T6/12,
            IF(AP$4=$P6,
               $U6/12,
               1
      ))),0)
))))</f>
        <v>-</v>
      </c>
      <c r="AR6" s="56" t="str">
        <f ca="1">IF($H6=リスト!$AA$4,"-",
   IF($C6="-","-",
     IF(AR$4&gt;$P6,"-",
       IF(AR$4=1,$E6,OFFSET(AR6,0,-2)-OFFSET(AR6,0,-1)
))))</f>
        <v>-</v>
      </c>
      <c r="AS6" s="57" t="str">
        <f>IF($H6=リスト!$AA$4,"-",
 IF($C6="-","-",
  IF(AR$4&gt;$P6,"-",
   CHOOSE(MATCH($H$3,リスト!$AE$3:$AE$5,0),
    ROUNDUP(
      AR6*IF(AR6*$I6&lt;=$L6,$J6,$I6)*
      IF($P6=1,
         $S6/12,
         IF(AR$4=1,
            $T6/12,
            IF(AR$4=$P6,
               $U6/12,
               1
      ))),0),
    ROUNDDOWN(
      AR6*IF(AR6*$I6&lt;=$L6,$J6,$I6)*
      IF($P6=1,
         $S6/12,
         IF(AR$4=1,
            $T6/12,
            IF(AR$4=$P6,
               $U6/12,
               1
      ))),0),
    ROUND(
      AR6*IF(AR6*$I6&lt;=$L6,$J6,$I6)*
      IF($P6=1,
         $S6/12,
         IF(AR$4=1,
            $T6/12,
            IF(AR$4=$P6,
               $U6/12,
               1
      ))),0)
))))</f>
        <v>-</v>
      </c>
      <c r="AT6" s="56" t="str">
        <f ca="1">IF($H6=リスト!$AA$4,"-",
   IF($C6="-","-",
     IF(AT$4&gt;$P6,"-",
       IF(AT$4=1,$E6,OFFSET(AT6,0,-2)-OFFSET(AT6,0,-1)
))))</f>
        <v>-</v>
      </c>
      <c r="AU6" s="57" t="str">
        <f>IF($H6=リスト!$AA$4,"-",
 IF($C6="-","-",
  IF(AT$4&gt;$P6,"-",
   CHOOSE(MATCH($H$3,リスト!$AE$3:$AE$5,0),
    ROUNDUP(
      AT6*IF(AT6*$I6&lt;=$L6,$J6,$I6)*
      IF($P6=1,
         $S6/12,
         IF(AT$4=1,
            $T6/12,
            IF(AT$4=$P6,
               $U6/12,
               1
      ))),0),
    ROUNDDOWN(
      AT6*IF(AT6*$I6&lt;=$L6,$J6,$I6)*
      IF($P6=1,
         $S6/12,
         IF(AT$4=1,
            $T6/12,
            IF(AT$4=$P6,
               $U6/12,
               1
      ))),0),
    ROUND(
      AT6*IF(AT6*$I6&lt;=$L6,$J6,$I6)*
      IF($P6=1,
         $S6/12,
         IF(AT$4=1,
            $T6/12,
            IF(AT$4=$P6,
               $U6/12,
               1
      ))),0)
))))</f>
        <v>-</v>
      </c>
      <c r="AV6" s="56" t="str">
        <f ca="1">IF($H6=リスト!$AA$4,"-",
   IF($C6="-","-",
     IF(AV$4&gt;$P6,"-",
       IF(AV$4=1,$E6,OFFSET(AV6,0,-2)-OFFSET(AV6,0,-1)
))))</f>
        <v>-</v>
      </c>
      <c r="AW6" s="57" t="str">
        <f>IF($H6=リスト!$AA$4,"-",
 IF($C6="-","-",
  IF(AV$4&gt;$P6,"-",
   CHOOSE(MATCH($H$3,リスト!$AE$3:$AE$5,0),
    ROUNDUP(
      AV6*IF(AV6*$I6&lt;=$L6,$J6,$I6)*
      IF($P6=1,
         $S6/12,
         IF(AV$4=1,
            $T6/12,
            IF(AV$4=$P6,
               $U6/12,
               1
      ))),0),
    ROUNDDOWN(
      AV6*IF(AV6*$I6&lt;=$L6,$J6,$I6)*
      IF($P6=1,
         $S6/12,
         IF(AV$4=1,
            $T6/12,
            IF(AV$4=$P6,
               $U6/12,
               1
      ))),0),
    ROUND(
      AV6*IF(AV6*$I6&lt;=$L6,$J6,$I6)*
      IF($P6=1,
         $S6/12,
         IF(AV$4=1,
            $T6/12,
            IF(AV$4=$P6,
               $U6/12,
               1
      ))),0)
))))</f>
        <v>-</v>
      </c>
      <c r="AX6" s="56" t="str">
        <f ca="1">IF($H6=リスト!$AA$4,"-",
   IF($C6="-","-",
     IF(AX$4&gt;$P6,"-",
       IF(AX$4=1,$E6,OFFSET(AX6,0,-2)-OFFSET(AX6,0,-1)
))))</f>
        <v>-</v>
      </c>
      <c r="AY6" s="57" t="str">
        <f>IF($H6=リスト!$AA$4,"-",
 IF($C6="-","-",
  IF(AX$4&gt;$P6,"-",
   CHOOSE(MATCH($H$3,リスト!$AE$3:$AE$5,0),
    ROUNDUP(
      AX6*IF(AX6*$I6&lt;=$L6,$J6,$I6)*
      IF($P6=1,
         $S6/12,
         IF(AX$4=1,
            $T6/12,
            IF(AX$4=$P6,
               $U6/12,
               1
      ))),0),
    ROUNDDOWN(
      AX6*IF(AX6*$I6&lt;=$L6,$J6,$I6)*
      IF($P6=1,
         $S6/12,
         IF(AX$4=1,
            $T6/12,
            IF(AX$4=$P6,
               $U6/12,
               1
      ))),0),
    ROUND(
      AX6*IF(AX6*$I6&lt;=$L6,$J6,$I6)*
      IF($P6=1,
         $S6/12,
         IF(AX$4=1,
            $T6/12,
            IF(AX$4=$P6,
               $U6/12,
               1
      ))),0)
))))</f>
        <v>-</v>
      </c>
      <c r="AZ6" s="56" t="str">
        <f ca="1">IF($H6=リスト!$AA$4,"-",
   IF($C6="-","-",
     IF(AZ$4&gt;$P6,"-",
       IF(AZ$4=1,$E6,OFFSET(AZ6,0,-2)-OFFSET(AZ6,0,-1)
))))</f>
        <v>-</v>
      </c>
      <c r="BA6" s="57" t="str">
        <f>IF($H6=リスト!$AA$4,"-",
 IF($C6="-","-",
  IF(AZ$4&gt;$P6,"-",
   CHOOSE(MATCH($H$3,リスト!$AE$3:$AE$5,0),
    ROUNDUP(
      AZ6*IF(AZ6*$I6&lt;=$L6,$J6,$I6)*
      IF($P6=1,
         $S6/12,
         IF(AZ$4=1,
            $T6/12,
            IF(AZ$4=$P6,
               $U6/12,
               1
      ))),0),
    ROUNDDOWN(
      AZ6*IF(AZ6*$I6&lt;=$L6,$J6,$I6)*
      IF($P6=1,
         $S6/12,
         IF(AZ$4=1,
            $T6/12,
            IF(AZ$4=$P6,
               $U6/12,
               1
      ))),0),
    ROUND(
      AZ6*IF(AZ6*$I6&lt;=$L6,$J6,$I6)*
      IF($P6=1,
         $S6/12,
         IF(AZ$4=1,
            $T6/12,
            IF(AZ$4=$P6,
               $U6/12,
               1
      ))),0)
))))</f>
        <v>-</v>
      </c>
      <c r="BB6" s="56" t="str">
        <f ca="1">IF($H6=リスト!$AA$4,"-",
   IF($C6="-","-",
     IF(BB$4&gt;$P6,"-",
       IF(BB$4=1,$E6,OFFSET(BB6,0,-2)-OFFSET(BB6,0,-1)
))))</f>
        <v>-</v>
      </c>
      <c r="BC6" s="57" t="str">
        <f>IF($H6=リスト!$AA$4,"-",
 IF($C6="-","-",
  IF(BB$4&gt;$P6,"-",
   CHOOSE(MATCH($H$3,リスト!$AE$3:$AE$5,0),
    ROUNDUP(
      BB6*IF(BB6*$I6&lt;=$L6,$J6,$I6)*
      IF($P6=1,
         $S6/12,
         IF(BB$4=1,
            $T6/12,
            IF(BB$4=$P6,
               $U6/12,
               1
      ))),0),
    ROUNDDOWN(
      BB6*IF(BB6*$I6&lt;=$L6,$J6,$I6)*
      IF($P6=1,
         $S6/12,
         IF(BB$4=1,
            $T6/12,
            IF(BB$4=$P6,
               $U6/12,
               1
      ))),0),
    ROUND(
      BB6*IF(BB6*$I6&lt;=$L6,$J6,$I6)*
      IF($P6=1,
         $S6/12,
         IF(BB$4=1,
            $T6/12,
            IF(BB$4=$P6,
               $U6/12,
               1
      ))),0)
))))</f>
        <v>-</v>
      </c>
      <c r="BD6" s="56" t="str">
        <f ca="1">IF($H6=リスト!$AA$4,"-",
   IF($C6="-","-",
     IF(BD$4&gt;$P6,"-",
       IF(BD$4=1,$E6,OFFSET(BD6,0,-2)-OFFSET(BD6,0,-1)
))))</f>
        <v>-</v>
      </c>
      <c r="BE6" s="57" t="str">
        <f>IF($H6=リスト!$AA$4,"-",
 IF($C6="-","-",
  IF(BD$4&gt;$P6,"-",
   CHOOSE(MATCH($H$3,リスト!$AE$3:$AE$5,0),
    ROUNDUP(
      BD6*IF(BD6*$I6&lt;=$L6,$J6,$I6)*
      IF($P6=1,
         $S6/12,
         IF(BD$4=1,
            $T6/12,
            IF(BD$4=$P6,
               $U6/12,
               1
      ))),0),
    ROUNDDOWN(
      BD6*IF(BD6*$I6&lt;=$L6,$J6,$I6)*
      IF($P6=1,
         $S6/12,
         IF(BD$4=1,
            $T6/12,
            IF(BD$4=$P6,
               $U6/12,
               1
      ))),0),
    ROUND(
      BD6*IF(BD6*$I6&lt;=$L6,$J6,$I6)*
      IF($P6=1,
         $S6/12,
         IF(BD$4=1,
            $T6/12,
            IF(BD$4=$P6,
               $U6/12,
               1
      ))),0)
))))</f>
        <v>-</v>
      </c>
      <c r="BF6" s="56" t="str">
        <f ca="1">IF($H6=リスト!$AA$4,"-",
   IF($C6="-","-",
     IF(BF$4&gt;$P6,"-",
       IF(BF$4=1,$E6,OFFSET(BF6,0,-2)-OFFSET(BF6,0,-1)
))))</f>
        <v>-</v>
      </c>
      <c r="BG6" s="57" t="str">
        <f>IF($H6=リスト!$AA$4,"-",
 IF($C6="-","-",
  IF(BF$4&gt;$P6,"-",
   CHOOSE(MATCH($H$3,リスト!$AE$3:$AE$5,0),
    ROUNDUP(
      BF6*IF(BF6*$I6&lt;=$L6,$J6,$I6)*
      IF($P6=1,
         $S6/12,
         IF(BF$4=1,
            $T6/12,
            IF(BF$4=$P6,
               $U6/12,
               1
      ))),0),
    ROUNDDOWN(
      BF6*IF(BF6*$I6&lt;=$L6,$J6,$I6)*
      IF($P6=1,
         $S6/12,
         IF(BF$4=1,
            $T6/12,
            IF(BF$4=$P6,
               $U6/12,
               1
      ))),0),
    ROUND(
      BF6*IF(BF6*$I6&lt;=$L6,$J6,$I6)*
      IF($P6=1,
         $S6/12,
         IF(BF$4=1,
            $T6/12,
            IF(BF$4=$P6,
               $U6/12,
               1
      ))),0)
))))</f>
        <v>-</v>
      </c>
      <c r="BH6" s="56" t="str">
        <f ca="1">IF($H6=リスト!$AA$4,"-",
   IF($C6="-","-",
     IF(BH$4&gt;$P6,"-",
       IF(BH$4=1,$E6,OFFSET(BH6,0,-2)-OFFSET(BH6,0,-1)
))))</f>
        <v>-</v>
      </c>
      <c r="BI6" s="57" t="str">
        <f>IF($H6=リスト!$AA$4,"-",
 IF($C6="-","-",
  IF(BH$4&gt;$P6,"-",
   CHOOSE(MATCH($H$3,リスト!$AE$3:$AE$5,0),
    ROUNDUP(
      BH6*IF(BH6*$I6&lt;=$L6,$J6,$I6)*
      IF($P6=1,
         $S6/12,
         IF(BH$4=1,
            $T6/12,
            IF(BH$4=$P6,
               $U6/12,
               1
      ))),0),
    ROUNDDOWN(
      BH6*IF(BH6*$I6&lt;=$L6,$J6,$I6)*
      IF($P6=1,
         $S6/12,
         IF(BH$4=1,
            $T6/12,
            IF(BH$4=$P6,
               $U6/12,
               1
      ))),0),
    ROUND(
      BH6*IF(BH6*$I6&lt;=$L6,$J6,$I6)*
      IF($P6=1,
         $S6/12,
         IF(BH$4=1,
            $T6/12,
            IF(BH$4=$P6,
               $U6/12,
               1
      ))),0)
))))</f>
        <v>-</v>
      </c>
      <c r="BJ6" s="56" t="str">
        <f ca="1">IF($H6=リスト!$AA$4,"-",
   IF($C6="-","-",
     IF(BJ$4&gt;$P6,"-",
       IF(BJ$4=1,$E6,OFFSET(BJ6,0,-2)-OFFSET(BJ6,0,-1)
))))</f>
        <v>-</v>
      </c>
      <c r="BK6" s="57" t="str">
        <f>IF($H6=リスト!$AA$4,"-",
 IF($C6="-","-",
  IF(BJ$4&gt;$P6,"-",
   CHOOSE(MATCH($H$3,リスト!$AE$3:$AE$5,0),
    ROUNDUP(
      BJ6*IF(BJ6*$I6&lt;=$L6,$J6,$I6)*
      IF($P6=1,
         $S6/12,
         IF(BJ$4=1,
            $T6/12,
            IF(BJ$4=$P6,
               $U6/12,
               1
      ))),0),
    ROUNDDOWN(
      BJ6*IF(BJ6*$I6&lt;=$L6,$J6,$I6)*
      IF($P6=1,
         $S6/12,
         IF(BJ$4=1,
            $T6/12,
            IF(BJ$4=$P6,
               $U6/12,
               1
      ))),0),
    ROUND(
      BJ6*IF(BJ6*$I6&lt;=$L6,$J6,$I6)*
      IF($P6=1,
         $S6/12,
         IF(BJ$4=1,
            $T6/12,
            IF(BJ$4=$P6,
               $U6/12,
               1
      ))),0)
))))</f>
        <v>-</v>
      </c>
      <c r="BL6" s="56" t="str">
        <f ca="1">IF($H6=リスト!$AA$4,"-",
   IF($C6="-","-",
     IF(BL$4&gt;$P6,"-",
       IF(BL$4=1,$E6,OFFSET(BL6,0,-2)-OFFSET(BL6,0,-1)
))))</f>
        <v>-</v>
      </c>
      <c r="BM6" s="57" t="str">
        <f>IF($H6=リスト!$AA$4,"-",
 IF($C6="-","-",
  IF(BL$4&gt;$P6,"-",
   CHOOSE(MATCH($H$3,リスト!$AE$3:$AE$5,0),
    ROUNDUP(
      BL6*IF(BL6*$I6&lt;=$L6,$J6,$I6)*
      IF($P6=1,
         $S6/12,
         IF(BL$4=1,
            $T6/12,
            IF(BL$4=$P6,
               $U6/12,
               1
      ))),0),
    ROUNDDOWN(
      BL6*IF(BL6*$I6&lt;=$L6,$J6,$I6)*
      IF($P6=1,
         $S6/12,
         IF(BL$4=1,
            $T6/12,
            IF(BL$4=$P6,
               $U6/12,
               1
      ))),0),
    ROUND(
      BL6*IF(BL6*$I6&lt;=$L6,$J6,$I6)*
      IF($P6=1,
         $S6/12,
         IF(BL$4=1,
            $T6/12,
            IF(BL$4=$P6,
               $U6/12,
               1
      ))),0)
))))</f>
        <v>-</v>
      </c>
      <c r="BN6" s="56" t="str">
        <f ca="1">IF($H6=リスト!$AA$4,"-",
   IF($C6="-","-",
     IF(BN$4&gt;$P6,"-",
       IF(BN$4=1,$E6,OFFSET(BN6,0,-2)-OFFSET(BN6,0,-1)
))))</f>
        <v>-</v>
      </c>
      <c r="BO6" s="57" t="str">
        <f>IF($H6=リスト!$AA$4,"-",
 IF($C6="-","-",
  IF(BN$4&gt;$P6,"-",
   CHOOSE(MATCH($H$3,リスト!$AE$3:$AE$5,0),
    ROUNDUP(
      BN6*IF(BN6*$I6&lt;=$L6,$J6,$I6)*
      IF($P6=1,
         $S6/12,
         IF(BN$4=1,
            $T6/12,
            IF(BN$4=$P6,
               $U6/12,
               1
      ))),0),
    ROUNDDOWN(
      BN6*IF(BN6*$I6&lt;=$L6,$J6,$I6)*
      IF($P6=1,
         $S6/12,
         IF(BN$4=1,
            $T6/12,
            IF(BN$4=$P6,
               $U6/12,
               1
      ))),0),
    ROUND(
      BN6*IF(BN6*$I6&lt;=$L6,$J6,$I6)*
      IF($P6=1,
         $S6/12,
         IF(BN$4=1,
            $T6/12,
            IF(BN$4=$P6,
               $U6/12,
               1
      ))),0)
))))</f>
        <v>-</v>
      </c>
      <c r="BP6" s="56" t="str">
        <f ca="1">IF($H6=リスト!$AA$4,"-",
   IF($C6="-","-",
     IF(BP$4&gt;$P6,"-",
       IF(BP$4=1,$E6,OFFSET(BP6,0,-2)-OFFSET(BP6,0,-1)
))))</f>
        <v>-</v>
      </c>
      <c r="BQ6" s="57" t="str">
        <f>IF($H6=リスト!$AA$4,"-",
 IF($C6="-","-",
  IF(BP$4&gt;$P6,"-",
   CHOOSE(MATCH($H$3,リスト!$AE$3:$AE$5,0),
    ROUNDUP(
      BP6*IF(BP6*$I6&lt;=$L6,$J6,$I6)*
      IF($P6=1,
         $S6/12,
         IF(BP$4=1,
            $T6/12,
            IF(BP$4=$P6,
               $U6/12,
               1
      ))),0),
    ROUNDDOWN(
      BP6*IF(BP6*$I6&lt;=$L6,$J6,$I6)*
      IF($P6=1,
         $S6/12,
         IF(BP$4=1,
            $T6/12,
            IF(BP$4=$P6,
               $U6/12,
               1
      ))),0),
    ROUND(
      BP6*IF(BP6*$I6&lt;=$L6,$J6,$I6)*
      IF($P6=1,
         $S6/12,
         IF(BP$4=1,
            $T6/12,
            IF(BP$4=$P6,
               $U6/12,
               1
      ))),0)
))))</f>
        <v>-</v>
      </c>
      <c r="BR6" s="56" t="str">
        <f ca="1">IF($H6=リスト!$AA$4,"-",
   IF($C6="-","-",
     IF(BR$4&gt;$P6,"-",
       IF(BR$4=1,$E6,OFFSET(BR6,0,-2)-OFFSET(BR6,0,-1)
))))</f>
        <v>-</v>
      </c>
      <c r="BS6" s="57" t="str">
        <f>IF($H6=リスト!$AA$4,"-",
 IF($C6="-","-",
  IF(BR$4&gt;$P6,"-",
   CHOOSE(MATCH($H$3,リスト!$AE$3:$AE$5,0),
    ROUNDUP(
      BR6*IF(BR6*$I6&lt;=$L6,$J6,$I6)*
      IF($P6=1,
         $S6/12,
         IF(BR$4=1,
            $T6/12,
            IF(BR$4=$P6,
               $U6/12,
               1
      ))),0),
    ROUNDDOWN(
      BR6*IF(BR6*$I6&lt;=$L6,$J6,$I6)*
      IF($P6=1,
         $S6/12,
         IF(BR$4=1,
            $T6/12,
            IF(BR$4=$P6,
               $U6/12,
               1
      ))),0),
    ROUND(
      BR6*IF(BR6*$I6&lt;=$L6,$J6,$I6)*
      IF($P6=1,
         $S6/12,
         IF(BR$4=1,
            $T6/12,
            IF(BR$4=$P6,
               $U6/12,
               1
      ))),0)
))))</f>
        <v>-</v>
      </c>
      <c r="BT6" s="56" t="str">
        <f ca="1">IF($H6=リスト!$AA$4,"-",
   IF($C6="-","-",
     IF(BT$4&gt;$P6,"-",
       IF(BT$4=1,$E6,OFFSET(BT6,0,-2)-OFFSET(BT6,0,-1)
))))</f>
        <v>-</v>
      </c>
      <c r="BU6" s="57" t="str">
        <f>IF($H6=リスト!$AA$4,"-",
 IF($C6="-","-",
  IF(BT$4&gt;$P6,"-",
   CHOOSE(MATCH($H$3,リスト!$AE$3:$AE$5,0),
    ROUNDUP(
      BT6*IF(BT6*$I6&lt;=$L6,$J6,$I6)*
      IF($P6=1,
         $S6/12,
         IF(BT$4=1,
            $T6/12,
            IF(BT$4=$P6,
               $U6/12,
               1
      ))),0),
    ROUNDDOWN(
      BT6*IF(BT6*$I6&lt;=$L6,$J6,$I6)*
      IF($P6=1,
         $S6/12,
         IF(BT$4=1,
            $T6/12,
            IF(BT$4=$P6,
               $U6/12,
               1
      ))),0),
    ROUND(
      BT6*IF(BT6*$I6&lt;=$L6,$J6,$I6)*
      IF($P6=1,
         $S6/12,
         IF(BT$4=1,
            $T6/12,
            IF(BT$4=$P6,
               $U6/12,
               1
      ))),0)
))))</f>
        <v>-</v>
      </c>
      <c r="BV6" s="56" t="str">
        <f ca="1">IF($H6=リスト!$AA$4,"-",
   IF($C6="-","-",
     IF(BV$4&gt;$P6,"-",
       IF(BV$4=1,$E6,OFFSET(BV6,0,-2)-OFFSET(BV6,0,-1)
))))</f>
        <v>-</v>
      </c>
      <c r="BW6" s="57" t="str">
        <f>IF($H6=リスト!$AA$4,"-",
 IF($C6="-","-",
  IF(BV$4&gt;$P6,"-",
   CHOOSE(MATCH($H$3,リスト!$AE$3:$AE$5,0),
    ROUNDUP(
      BV6*IF(BV6*$I6&lt;=$L6,$J6,$I6)*
      IF($P6=1,
         $S6/12,
         IF(BV$4=1,
            $T6/12,
            IF(BV$4=$P6,
               $U6/12,
               1
      ))),0),
    ROUNDDOWN(
      BV6*IF(BV6*$I6&lt;=$L6,$J6,$I6)*
      IF($P6=1,
         $S6/12,
         IF(BV$4=1,
            $T6/12,
            IF(BV$4=$P6,
               $U6/12,
               1
      ))),0),
    ROUND(
      BV6*IF(BV6*$I6&lt;=$L6,$J6,$I6)*
      IF($P6=1,
         $S6/12,
         IF(BV$4=1,
            $T6/12,
            IF(BV$4=$P6,
               $U6/12,
               1
      ))),0)
))))</f>
        <v>-</v>
      </c>
      <c r="BX6" s="56" t="str">
        <f ca="1">IF($H6=リスト!$AA$4,"-",
   IF($C6="-","-",
     IF(BX$4&gt;$P6,"-",
       IF(BX$4=1,$E6,OFFSET(BX6,0,-2)-OFFSET(BX6,0,-1)
))))</f>
        <v>-</v>
      </c>
      <c r="BY6" s="57" t="str">
        <f>IF($H6=リスト!$AA$4,"-",
 IF($C6="-","-",
  IF(BX$4&gt;$P6,"-",
   CHOOSE(MATCH($H$3,リスト!$AE$3:$AE$5,0),
    ROUNDUP(
      BX6*IF(BX6*$I6&lt;=$L6,$J6,$I6)*
      IF($P6=1,
         $S6/12,
         IF(BX$4=1,
            $T6/12,
            IF(BX$4=$P6,
               $U6/12,
               1
      ))),0),
    ROUNDDOWN(
      BX6*IF(BX6*$I6&lt;=$L6,$J6,$I6)*
      IF($P6=1,
         $S6/12,
         IF(BX$4=1,
            $T6/12,
            IF(BX$4=$P6,
               $U6/12,
               1
      ))),0),
    ROUND(
      BX6*IF(BX6*$I6&lt;=$L6,$J6,$I6)*
      IF($P6=1,
         $S6/12,
         IF(BX$4=1,
            $T6/12,
            IF(BX$4=$P6,
               $U6/12,
               1
      ))),0)
))))</f>
        <v>-</v>
      </c>
      <c r="BZ6" s="56" t="str">
        <f ca="1">IF($H6=リスト!$AA$4,"-",
   IF($C6="-","-",
     IF(BZ$4&gt;$P6,"-",
       IF(BZ$4=1,$E6,OFFSET(BZ6,0,-2)-OFFSET(BZ6,0,-1)
))))</f>
        <v>-</v>
      </c>
      <c r="CA6" s="57" t="str">
        <f>IF($H6=リスト!$AA$4,"-",
 IF($C6="-","-",
  IF(BZ$4&gt;$P6,"-",
   CHOOSE(MATCH($H$3,リスト!$AE$3:$AE$5,0),
    ROUNDUP(
      BZ6*IF(BZ6*$I6&lt;=$L6,$J6,$I6)*
      IF($P6=1,
         $S6/12,
         IF(BZ$4=1,
            $T6/12,
            IF(BZ$4=$P6,
               $U6/12,
               1
      ))),0),
    ROUNDDOWN(
      BZ6*IF(BZ6*$I6&lt;=$L6,$J6,$I6)*
      IF($P6=1,
         $S6/12,
         IF(BZ$4=1,
            $T6/12,
            IF(BZ$4=$P6,
               $U6/12,
               1
      ))),0),
    ROUND(
      BZ6*IF(BZ6*$I6&lt;=$L6,$J6,$I6)*
      IF($P6=1,
         $S6/12,
         IF(BZ$4=1,
            $T6/12,
            IF(BZ$4=$P6,
               $U6/12,
               1
      ))),0)
))))</f>
        <v>-</v>
      </c>
      <c r="CB6" s="56" t="str">
        <f ca="1">IF($H6=リスト!$AA$4,"-",
   IF($C6="-","-",
     IF(CB$4&gt;$P6,"-",
       IF(CB$4=1,$E6,OFFSET(CB6,0,-2)-OFFSET(CB6,0,-1)
))))</f>
        <v>-</v>
      </c>
      <c r="CC6" s="57" t="str">
        <f>IF($H6=リスト!$AA$4,"-",
 IF($C6="-","-",
  IF(CB$4&gt;$P6,"-",
   CHOOSE(MATCH($H$3,リスト!$AE$3:$AE$5,0),
    ROUNDUP(
      CB6*IF(CB6*$I6&lt;=$L6,$J6,$I6)*
      IF($P6=1,
         $S6/12,
         IF(CB$4=1,
            $T6/12,
            IF(CB$4=$P6,
               $U6/12,
               1
      ))),0),
    ROUNDDOWN(
      CB6*IF(CB6*$I6&lt;=$L6,$J6,$I6)*
      IF($P6=1,
         $S6/12,
         IF(CB$4=1,
            $T6/12,
            IF(CB$4=$P6,
               $U6/12,
               1
      ))),0),
    ROUND(
      CB6*IF(CB6*$I6&lt;=$L6,$J6,$I6)*
      IF($P6=1,
         $S6/12,
         IF(CB$4=1,
            $T6/12,
            IF(CB$4=$P6,
               $U6/12,
               1
      ))),0)
))))</f>
        <v>-</v>
      </c>
      <c r="CD6" s="56" t="str">
        <f ca="1">IF($H6=リスト!$AA$4,"-",
   IF($C6="-","-",
     IF(CD$4&gt;$P6,"-",
       IF(CD$4=1,$E6,OFFSET(CD6,0,-2)-OFFSET(CD6,0,-1)
))))</f>
        <v>-</v>
      </c>
      <c r="CE6" s="57" t="str">
        <f>IF($H6=リスト!$AA$4,"-",
 IF($C6="-","-",
  IF(CD$4&gt;$P6,"-",
   CHOOSE(MATCH($H$3,リスト!$AE$3:$AE$5,0),
    ROUNDUP(
      CD6*IF(CD6*$I6&lt;=$L6,$J6,$I6)*
      IF($P6=1,
         $S6/12,
         IF(CD$4=1,
            $T6/12,
            IF(CD$4=$P6,
               $U6/12,
               1
      ))),0),
    ROUNDDOWN(
      CD6*IF(CD6*$I6&lt;=$L6,$J6,$I6)*
      IF($P6=1,
         $S6/12,
         IF(CD$4=1,
            $T6/12,
            IF(CD$4=$P6,
               $U6/12,
               1
      ))),0),
    ROUND(
      CD6*IF(CD6*$I6&lt;=$L6,$J6,$I6)*
      IF($P6=1,
         $S6/12,
         IF(CD$4=1,
            $T6/12,
            IF(CD$4=$P6,
               $U6/12,
               1
      ))),0)
))))</f>
        <v>-</v>
      </c>
      <c r="CF6" s="56" t="str">
        <f ca="1">IF($H6=リスト!$AA$4,"-",
   IF($C6="-","-",
     IF(CF$4&gt;$P6,"-",
       IF(CF$4=1,$E6,OFFSET(CF6,0,-2)-OFFSET(CF6,0,-1)
))))</f>
        <v>-</v>
      </c>
      <c r="CG6" s="57" t="str">
        <f>IF($H6=リスト!$AA$4,"-",
 IF($C6="-","-",
  IF(CF$4&gt;$P6,"-",
   CHOOSE(MATCH($H$3,リスト!$AE$3:$AE$5,0),
    ROUNDUP(
      CF6*IF(CF6*$I6&lt;=$L6,$J6,$I6)*
      IF($P6=1,
         $S6/12,
         IF(CF$4=1,
            $T6/12,
            IF(CF$4=$P6,
               $U6/12,
               1
      ))),0),
    ROUNDDOWN(
      CF6*IF(CF6*$I6&lt;=$L6,$J6,$I6)*
      IF($P6=1,
         $S6/12,
         IF(CF$4=1,
            $T6/12,
            IF(CF$4=$P6,
               $U6/12,
               1
      ))),0),
    ROUND(
      CF6*IF(CF6*$I6&lt;=$L6,$J6,$I6)*
      IF($P6=1,
         $S6/12,
         IF(CF$4=1,
            $T6/12,
            IF(CF$4=$P6,
               $U6/12,
               1
      ))),0)
))))</f>
        <v>-</v>
      </c>
      <c r="CH6" s="56" t="str">
        <f ca="1">IF($H6=リスト!$AA$4,"-",
   IF($C6="-","-",
     IF(CH$4&gt;$P6,"-",
       IF(CH$4=1,$E6,OFFSET(CH6,0,-2)-OFFSET(CH6,0,-1)
))))</f>
        <v>-</v>
      </c>
      <c r="CI6" s="57" t="str">
        <f>IF($H6=リスト!$AA$4,"-",
 IF($C6="-","-",
  IF(CH$4&gt;$P6,"-",
   CHOOSE(MATCH($H$3,リスト!$AE$3:$AE$5,0),
    ROUNDUP(
      CH6*IF(CH6*$I6&lt;=$L6,$J6,$I6)*
      IF($P6=1,
         $S6/12,
         IF(CH$4=1,
            $T6/12,
            IF(CH$4=$P6,
               $U6/12,
               1
      ))),0),
    ROUNDDOWN(
      CH6*IF(CH6*$I6&lt;=$L6,$J6,$I6)*
      IF($P6=1,
         $S6/12,
         IF(CH$4=1,
            $T6/12,
            IF(CH$4=$P6,
               $U6/12,
               1
      ))),0),
    ROUND(
      CH6*IF(CH6*$I6&lt;=$L6,$J6,$I6)*
      IF($P6=1,
         $S6/12,
         IF(CH$4=1,
            $T6/12,
            IF(CH$4=$P6,
               $U6/12,
               1
      ))),0)
))))</f>
        <v>-</v>
      </c>
      <c r="CJ6" s="56" t="str">
        <f ca="1">IF($H6=リスト!$AA$4,"-",
   IF($C6="-","-",
     IF(CJ$4&gt;$P6,"-",
       IF(CJ$4=1,$E6,OFFSET(CJ6,0,-2)-OFFSET(CJ6,0,-1)
))))</f>
        <v>-</v>
      </c>
      <c r="CK6" s="57" t="str">
        <f>IF($H6=リスト!$AA$4,"-",
 IF($C6="-","-",
  IF(CJ$4&gt;$P6,"-",
   CHOOSE(MATCH($H$3,リスト!$AE$3:$AE$5,0),
    ROUNDUP(
      CJ6*IF(CJ6*$I6&lt;=$L6,$J6,$I6)*
      IF($P6=1,
         $S6/12,
         IF(CJ$4=1,
            $T6/12,
            IF(CJ$4=$P6,
               $U6/12,
               1
      ))),0),
    ROUNDDOWN(
      CJ6*IF(CJ6*$I6&lt;=$L6,$J6,$I6)*
      IF($P6=1,
         $S6/12,
         IF(CJ$4=1,
            $T6/12,
            IF(CJ$4=$P6,
               $U6/12,
               1
      ))),0),
    ROUND(
      CJ6*IF(CJ6*$I6&lt;=$L6,$J6,$I6)*
      IF($P6=1,
         $S6/12,
         IF(CJ$4=1,
            $T6/12,
            IF(CJ$4=$P6,
               $U6/12,
               1
      ))),0)
))))</f>
        <v>-</v>
      </c>
      <c r="CL6" s="56" t="str">
        <f ca="1">IF($H6=リスト!$AA$4,"-",
   IF($C6="-","-",
     IF(CL$4&gt;$P6,"-",
       IF(CL$4=1,$E6,OFFSET(CL6,0,-2)-OFFSET(CL6,0,-1)
))))</f>
        <v>-</v>
      </c>
      <c r="CM6" s="57" t="str">
        <f>IF($H6=リスト!$AA$4,"-",
 IF($C6="-","-",
  IF(CL$4&gt;$P6,"-",
   CHOOSE(MATCH($H$3,リスト!$AE$3:$AE$5,0),
    ROUNDUP(
      CL6*IF(CL6*$I6&lt;=$L6,$J6,$I6)*
      IF($P6=1,
         $S6/12,
         IF(CL$4=1,
            $T6/12,
            IF(CL$4=$P6,
               $U6/12,
               1
      ))),0),
    ROUNDDOWN(
      CL6*IF(CL6*$I6&lt;=$L6,$J6,$I6)*
      IF($P6=1,
         $S6/12,
         IF(CL$4=1,
            $T6/12,
            IF(CL$4=$P6,
               $U6/12,
               1
      ))),0),
    ROUND(
      CL6*IF(CL6*$I6&lt;=$L6,$J6,$I6)*
      IF($P6=1,
         $S6/12,
         IF(CL$4=1,
            $T6/12,
            IF(CL$4=$P6,
               $U6/12,
               1
      ))),0)
))))</f>
        <v>-</v>
      </c>
      <c r="CN6" s="56" t="str">
        <f ca="1">IF($H6=リスト!$AA$4,"-",
   IF($C6="-","-",
     IF(CN$4&gt;$P6,"-",
       IF(CN$4=1,$E6,OFFSET(CN6,0,-2)-OFFSET(CN6,0,-1)
))))</f>
        <v>-</v>
      </c>
      <c r="CO6" s="57" t="str">
        <f>IF($H6=リスト!$AA$4,"-",
 IF($C6="-","-",
  IF(CN$4&gt;$P6,"-",
   CHOOSE(MATCH($H$3,リスト!$AE$3:$AE$5,0),
    ROUNDUP(
      CN6*IF(CN6*$I6&lt;=$L6,$J6,$I6)*
      IF($P6=1,
         $S6/12,
         IF(CN$4=1,
            $T6/12,
            IF(CN$4=$P6,
               $U6/12,
               1
      ))),0),
    ROUNDDOWN(
      CN6*IF(CN6*$I6&lt;=$L6,$J6,$I6)*
      IF($P6=1,
         $S6/12,
         IF(CN$4=1,
            $T6/12,
            IF(CN$4=$P6,
               $U6/12,
               1
      ))),0),
    ROUND(
      CN6*IF(CN6*$I6&lt;=$L6,$J6,$I6)*
      IF($P6=1,
         $S6/12,
         IF(CN$4=1,
            $T6/12,
            IF(CN$4=$P6,
               $U6/12,
               1
      ))),0)
))))</f>
        <v>-</v>
      </c>
      <c r="CP6" s="56" t="str">
        <f ca="1">IF($H6=リスト!$AA$4,"-",
   IF($C6="-","-",
     IF(CP$4&gt;$P6,"-",
       IF(CP$4=1,$E6,OFFSET(CP6,0,-2)-OFFSET(CP6,0,-1)
))))</f>
        <v>-</v>
      </c>
      <c r="CQ6" s="57" t="str">
        <f>IF($H6=リスト!$AA$4,"-",
 IF($C6="-","-",
  IF(CP$4&gt;$P6,"-",
   CHOOSE(MATCH($H$3,リスト!$AE$3:$AE$5,0),
    ROUNDUP(
      CP6*IF(CP6*$I6&lt;=$L6,$J6,$I6)*
      IF($P6=1,
         $S6/12,
         IF(CP$4=1,
            $T6/12,
            IF(CP$4=$P6,
               $U6/12,
               1
      ))),0),
    ROUNDDOWN(
      CP6*IF(CP6*$I6&lt;=$L6,$J6,$I6)*
      IF($P6=1,
         $S6/12,
         IF(CP$4=1,
            $T6/12,
            IF(CP$4=$P6,
               $U6/12,
               1
      ))),0),
    ROUND(
      CP6*IF(CP6*$I6&lt;=$L6,$J6,$I6)*
      IF($P6=1,
         $S6/12,
         IF(CP$4=1,
            $T6/12,
            IF(CP$4=$P6,
               $U6/12,
               1
      ))),0)
))))</f>
        <v>-</v>
      </c>
      <c r="CR6" s="56" t="str">
        <f ca="1">IF($H6=リスト!$AA$4,"-",
   IF($C6="-","-",
     IF(CR$4&gt;$P6,"-",
       IF(CR$4=1,$E6,OFFSET(CR6,0,-2)-OFFSET(CR6,0,-1)
))))</f>
        <v>-</v>
      </c>
      <c r="CS6" s="57" t="str">
        <f>IF($H6=リスト!$AA$4,"-",
 IF($C6="-","-",
  IF(CR$4&gt;$P6,"-",
   CHOOSE(MATCH($H$3,リスト!$AE$3:$AE$5,0),
    ROUNDUP(
      CR6*IF(CR6*$I6&lt;=$L6,$J6,$I6)*
      IF($P6=1,
         $S6/12,
         IF(CR$4=1,
            $T6/12,
            IF(CR$4=$P6,
               $U6/12,
               1
      ))),0),
    ROUNDDOWN(
      CR6*IF(CR6*$I6&lt;=$L6,$J6,$I6)*
      IF($P6=1,
         $S6/12,
         IF(CR$4=1,
            $T6/12,
            IF(CR$4=$P6,
               $U6/12,
               1
      ))),0),
    ROUND(
      CR6*IF(CR6*$I6&lt;=$L6,$J6,$I6)*
      IF($P6=1,
         $S6/12,
         IF(CR$4=1,
            $T6/12,
            IF(CR$4=$P6,
               $U6/12,
               1
      ))),0)
))))</f>
        <v>-</v>
      </c>
      <c r="CT6" s="56" t="str">
        <f ca="1">IF($H6=リスト!$AA$4,"-",
   IF($C6="-","-",
     IF(CT$4&gt;$P6,"-",
       IF(CT$4=1,$E6,OFFSET(CT6,0,-2)-OFFSET(CT6,0,-1)
))))</f>
        <v>-</v>
      </c>
      <c r="CU6" s="57" t="str">
        <f>IF($H6=リスト!$AA$4,"-",
 IF($C6="-","-",
  IF(CT$4&gt;$P6,"-",
   CHOOSE(MATCH($H$3,リスト!$AE$3:$AE$5,0),
    ROUNDUP(
      CT6*IF(CT6*$I6&lt;=$L6,$J6,$I6)*
      IF($P6=1,
         $S6/12,
         IF(CT$4=1,
            $T6/12,
            IF(CT$4=$P6,
               $U6/12,
               1
      ))),0),
    ROUNDDOWN(
      CT6*IF(CT6*$I6&lt;=$L6,$J6,$I6)*
      IF($P6=1,
         $S6/12,
         IF(CT$4=1,
            $T6/12,
            IF(CT$4=$P6,
               $U6/12,
               1
      ))),0),
    ROUND(
      CT6*IF(CT6*$I6&lt;=$L6,$J6,$I6)*
      IF($P6=1,
         $S6/12,
         IF(CT$4=1,
            $T6/12,
            IF(CT$4=$P6,
               $U6/12,
               1
      ))),0)
))))</f>
        <v>-</v>
      </c>
      <c r="CV6" s="56" t="str">
        <f ca="1">IF($H6=リスト!$AA$4,"-",
   IF($C6="-","-",
     IF(CV$4&gt;$P6,"-",
       IF(CV$4=1,$E6,OFFSET(CV6,0,-2)-OFFSET(CV6,0,-1)
))))</f>
        <v>-</v>
      </c>
      <c r="CW6" s="57" t="str">
        <f>IF($H6=リスト!$AA$4,"-",
 IF($C6="-","-",
  IF(CV$4&gt;$P6,"-",
   CHOOSE(MATCH($H$3,リスト!$AE$3:$AE$5,0),
    ROUNDUP(
      CV6*IF(CV6*$I6&lt;=$L6,$J6,$I6)*
      IF($P6=1,
         $S6/12,
         IF(CV$4=1,
            $T6/12,
            IF(CV$4=$P6,
               $U6/12,
               1
      ))),0),
    ROUNDDOWN(
      CV6*IF(CV6*$I6&lt;=$L6,$J6,$I6)*
      IF($P6=1,
         $S6/12,
         IF(CV$4=1,
            $T6/12,
            IF(CV$4=$P6,
               $U6/12,
               1
      ))),0),
    ROUND(
      CV6*IF(CV6*$I6&lt;=$L6,$J6,$I6)*
      IF($P6=1,
         $S6/12,
         IF(CV$4=1,
            $T6/12,
            IF(CV$4=$P6,
               $U6/12,
               1
      ))),0)
))))</f>
        <v>-</v>
      </c>
      <c r="CX6" s="56" t="str">
        <f ca="1">IF($H6=リスト!$AA$4,"-",
   IF($C6="-","-",
     IF(CX$4&gt;$P6,"-",
       IF(CX$4=1,$E6,OFFSET(CX6,0,-2)-OFFSET(CX6,0,-1)
))))</f>
        <v>-</v>
      </c>
      <c r="CY6" s="57" t="str">
        <f>IF($H6=リスト!$AA$4,"-",
 IF($C6="-","-",
  IF(CX$4&gt;$P6,"-",
   CHOOSE(MATCH($H$3,リスト!$AE$3:$AE$5,0),
    ROUNDUP(
      CX6*IF(CX6*$I6&lt;=$L6,$J6,$I6)*
      IF($P6=1,
         $S6/12,
         IF(CX$4=1,
            $T6/12,
            IF(CX$4=$P6,
               $U6/12,
               1
      ))),0),
    ROUNDDOWN(
      CX6*IF(CX6*$I6&lt;=$L6,$J6,$I6)*
      IF($P6=1,
         $S6/12,
         IF(CX$4=1,
            $T6/12,
            IF(CX$4=$P6,
               $U6/12,
               1
      ))),0),
    ROUND(
      CX6*IF(CX6*$I6&lt;=$L6,$J6,$I6)*
      IF($P6=1,
         $S6/12,
         IF(CX$4=1,
            $T6/12,
            IF(CX$4=$P6,
               $U6/12,
               1
      ))),0)
))))</f>
        <v>-</v>
      </c>
      <c r="CZ6" s="56" t="str">
        <f ca="1">IF($H6=リスト!$AA$4,"-",
   IF($C6="-","-",
     IF(CZ$4&gt;$P6,"-",
       IF(CZ$4=1,$E6,OFFSET(CZ6,0,-2)-OFFSET(CZ6,0,-1)
))))</f>
        <v>-</v>
      </c>
      <c r="DA6" s="57" t="str">
        <f>IF($H6=リスト!$AA$4,"-",
 IF($C6="-","-",
  IF(CZ$4&gt;$P6,"-",
   CHOOSE(MATCH($H$3,リスト!$AE$3:$AE$5,0),
    ROUNDUP(
      CZ6*IF(CZ6*$I6&lt;=$L6,$J6,$I6)*
      IF($P6=1,
         $S6/12,
         IF(CZ$4=1,
            $T6/12,
            IF(CZ$4=$P6,
               $U6/12,
               1
      ))),0),
    ROUNDDOWN(
      CZ6*IF(CZ6*$I6&lt;=$L6,$J6,$I6)*
      IF($P6=1,
         $S6/12,
         IF(CZ$4=1,
            $T6/12,
            IF(CZ$4=$P6,
               $U6/12,
               1
      ))),0),
    ROUND(
      CZ6*IF(CZ6*$I6&lt;=$L6,$J6,$I6)*
      IF($P6=1,
         $S6/12,
         IF(CZ$4=1,
            $T6/12,
            IF(CZ$4=$P6,
               $U6/12,
               1
      ))),0)
))))</f>
        <v>-</v>
      </c>
      <c r="DB6" s="56" t="str">
        <f ca="1">IF($H6=リスト!$AA$4,"-",
   IF($C6="-","-",
     IF(DB$4&gt;$P6,"-",
       IF(DB$4=1,$E6,OFFSET(DB6,0,-2)-OFFSET(DB6,0,-1)
))))</f>
        <v>-</v>
      </c>
      <c r="DC6" s="57" t="str">
        <f>IF($H6=リスト!$AA$4,"-",
 IF($C6="-","-",
  IF(DB$4&gt;$P6,"-",
   CHOOSE(MATCH($H$3,リスト!$AE$3:$AE$5,0),
    ROUNDUP(
      DB6*IF(DB6*$I6&lt;=$L6,$J6,$I6)*
      IF($P6=1,
         $S6/12,
         IF(DB$4=1,
            $T6/12,
            IF(DB$4=$P6,
               $U6/12,
               1
      ))),0),
    ROUNDDOWN(
      DB6*IF(DB6*$I6&lt;=$L6,$J6,$I6)*
      IF($P6=1,
         $S6/12,
         IF(DB$4=1,
            $T6/12,
            IF(DB$4=$P6,
               $U6/12,
               1
      ))),0),
    ROUND(
      DB6*IF(DB6*$I6&lt;=$L6,$J6,$I6)*
      IF($P6=1,
         $S6/12,
         IF(DB$4=1,
            $T6/12,
            IF(DB$4=$P6,
               $U6/12,
               1
      ))),0)
))))</f>
        <v>-</v>
      </c>
      <c r="DD6" s="56" t="str">
        <f ca="1">IF($H6=リスト!$AA$4,"-",
   IF($C6="-","-",
     IF(DD$4&gt;$P6,"-",
       IF(DD$4=1,$E6,OFFSET(DD6,0,-2)-OFFSET(DD6,0,-1)
))))</f>
        <v>-</v>
      </c>
      <c r="DE6" s="57" t="str">
        <f>IF($H6=リスト!$AA$4,"-",
 IF($C6="-","-",
  IF(DD$4&gt;$P6,"-",
   CHOOSE(MATCH($H$3,リスト!$AE$3:$AE$5,0),
    ROUNDUP(
      DD6*IF(DD6*$I6&lt;=$L6,$J6,$I6)*
      IF($P6=1,
         $S6/12,
         IF(DD$4=1,
            $T6/12,
            IF(DD$4=$P6,
               $U6/12,
               1
      ))),0),
    ROUNDDOWN(
      DD6*IF(DD6*$I6&lt;=$L6,$J6,$I6)*
      IF($P6=1,
         $S6/12,
         IF(DD$4=1,
            $T6/12,
            IF(DD$4=$P6,
               $U6/12,
               1
      ))),0),
    ROUND(
      DD6*IF(DD6*$I6&lt;=$L6,$J6,$I6)*
      IF($P6=1,
         $S6/12,
         IF(DD$4=1,
            $T6/12,
            IF(DD$4=$P6,
               $U6/12,
               1
      ))),0)
))))</f>
        <v>-</v>
      </c>
      <c r="DF6" s="56" t="str">
        <f ca="1">IF($H6=リスト!$AA$4,"-",
   IF($C6="-","-",
     IF(DF$4&gt;$P6,"-",
       IF(DF$4=1,$E6,OFFSET(DF6,0,-2)-OFFSET(DF6,0,-1)
))))</f>
        <v>-</v>
      </c>
      <c r="DG6" s="57" t="str">
        <f>IF($H6=リスト!$AA$4,"-",
 IF($C6="-","-",
  IF(DF$4&gt;$P6,"-",
   CHOOSE(MATCH($H$3,リスト!$AE$3:$AE$5,0),
    ROUNDUP(
      DF6*IF(DF6*$I6&lt;=$L6,$J6,$I6)*
      IF($P6=1,
         $S6/12,
         IF(DF$4=1,
            $T6/12,
            IF(DF$4=$P6,
               $U6/12,
               1
      ))),0),
    ROUNDDOWN(
      DF6*IF(DF6*$I6&lt;=$L6,$J6,$I6)*
      IF($P6=1,
         $S6/12,
         IF(DF$4=1,
            $T6/12,
            IF(DF$4=$P6,
               $U6/12,
               1
      ))),0),
    ROUND(
      DF6*IF(DF6*$I6&lt;=$L6,$J6,$I6)*
      IF($P6=1,
         $S6/12,
         IF(DF$4=1,
            $T6/12,
            IF(DF$4=$P6,
               $U6/12,
               1
      ))),0)
))))</f>
        <v>-</v>
      </c>
      <c r="DH6" s="56" t="str">
        <f ca="1">IF($H6=リスト!$AA$4,"-",
   IF($C6="-","-",
     IF(DH$4&gt;$P6,"-",
       IF(DH$4=1,$E6,OFFSET(DH6,0,-2)-OFFSET(DH6,0,-1)
))))</f>
        <v>-</v>
      </c>
      <c r="DI6" s="57" t="str">
        <f>IF($H6=リスト!$AA$4,"-",
 IF($C6="-","-",
  IF(DH$4&gt;$P6,"-",
   CHOOSE(MATCH($H$3,リスト!$AE$3:$AE$5,0),
    ROUNDUP(
      DH6*IF(DH6*$I6&lt;=$L6,$J6,$I6)*
      IF($P6=1,
         $S6/12,
         IF(DH$4=1,
            $T6/12,
            IF(DH$4=$P6,
               $U6/12,
               1
      ))),0),
    ROUNDDOWN(
      DH6*IF(DH6*$I6&lt;=$L6,$J6,$I6)*
      IF($P6=1,
         $S6/12,
         IF(DH$4=1,
            $T6/12,
            IF(DH$4=$P6,
               $U6/12,
               1
      ))),0),
    ROUND(
      DH6*IF(DH6*$I6&lt;=$L6,$J6,$I6)*
      IF($P6=1,
         $S6/12,
         IF(DH$4=1,
            $T6/12,
            IF(DH$4=$P6,
               $U6/12,
               1
      ))),0)
))))</f>
        <v>-</v>
      </c>
      <c r="DJ6" s="56" t="str">
        <f ca="1">IF($H6=リスト!$AA$4,"-",
   IF($C6="-","-",
     IF(DJ$4&gt;$P6,"-",
       IF(DJ$4=1,$E6,OFFSET(DJ6,0,-2)-OFFSET(DJ6,0,-1)
))))</f>
        <v>-</v>
      </c>
      <c r="DK6" s="57" t="str">
        <f>IF($H6=リスト!$AA$4,"-",
 IF($C6="-","-",
  IF(DJ$4&gt;$P6,"-",
   CHOOSE(MATCH($H$3,リスト!$AE$3:$AE$5,0),
    ROUNDUP(
      DJ6*IF(DJ6*$I6&lt;=$L6,$J6,$I6)*
      IF($P6=1,
         $S6/12,
         IF(DJ$4=1,
            $T6/12,
            IF(DJ$4=$P6,
               $U6/12,
               1
      ))),0),
    ROUNDDOWN(
      DJ6*IF(DJ6*$I6&lt;=$L6,$J6,$I6)*
      IF($P6=1,
         $S6/12,
         IF(DJ$4=1,
            $T6/12,
            IF(DJ$4=$P6,
               $U6/12,
               1
      ))),0),
    ROUND(
      DJ6*IF(DJ6*$I6&lt;=$L6,$J6,$I6)*
      IF($P6=1,
         $S6/12,
         IF(DJ$4=1,
            $T6/12,
            IF(DJ$4=$P6,
               $U6/12,
               1
      ))),0)
))))</f>
        <v>-</v>
      </c>
      <c r="DL6" s="56" t="str">
        <f ca="1">IF($H6=リスト!$AA$4,"-",
   IF($C6="-","-",
     IF(DL$4&gt;$P6,"-",
       IF(DL$4=1,$E6,OFFSET(DL6,0,-2)-OFFSET(DL6,0,-1)
))))</f>
        <v>-</v>
      </c>
      <c r="DM6" s="57" t="str">
        <f>IF($H6=リスト!$AA$4,"-",
 IF($C6="-","-",
  IF(DL$4&gt;$P6,"-",
   CHOOSE(MATCH($H$3,リスト!$AE$3:$AE$5,0),
    ROUNDUP(
      DL6*IF(DL6*$I6&lt;=$L6,$J6,$I6)*
      IF($P6=1,
         $S6/12,
         IF(DL$4=1,
            $T6/12,
            IF(DL$4=$P6,
               $U6/12,
               1
      ))),0),
    ROUNDDOWN(
      DL6*IF(DL6*$I6&lt;=$L6,$J6,$I6)*
      IF($P6=1,
         $S6/12,
         IF(DL$4=1,
            $T6/12,
            IF(DL$4=$P6,
               $U6/12,
               1
      ))),0),
    ROUND(
      DL6*IF(DL6*$I6&lt;=$L6,$J6,$I6)*
      IF($P6=1,
         $S6/12,
         IF(DL$4=1,
            $T6/12,
            IF(DL$4=$P6,
               $U6/12,
               1
      ))),0)
))))</f>
        <v>-</v>
      </c>
      <c r="DN6" s="56" t="str">
        <f ca="1">IF($H6=リスト!$AA$4,"-",
   IF($C6="-","-",
     IF(DN$4&gt;$P6,"-",
       IF(DN$4=1,$E6,OFFSET(DN6,0,-2)-OFFSET(DN6,0,-1)
))))</f>
        <v>-</v>
      </c>
      <c r="DO6" s="57" t="str">
        <f>IF($H6=リスト!$AA$4,"-",
 IF($C6="-","-",
  IF(DN$4&gt;$P6,"-",
   CHOOSE(MATCH($H$3,リスト!$AE$3:$AE$5,0),
    ROUNDUP(
      DN6*IF(DN6*$I6&lt;=$L6,$J6,$I6)*
      IF($P6=1,
         $S6/12,
         IF(DN$4=1,
            $T6/12,
            IF(DN$4=$P6,
               $U6/12,
               1
      ))),0),
    ROUNDDOWN(
      DN6*IF(DN6*$I6&lt;=$L6,$J6,$I6)*
      IF($P6=1,
         $S6/12,
         IF(DN$4=1,
            $T6/12,
            IF(DN$4=$P6,
               $U6/12,
               1
      ))),0),
    ROUND(
      DN6*IF(DN6*$I6&lt;=$L6,$J6,$I6)*
      IF($P6=1,
         $S6/12,
         IF(DN$4=1,
            $T6/12,
            IF(DN$4=$P6,
               $U6/12,
               1
      ))),0)
))))</f>
        <v>-</v>
      </c>
      <c r="DP6" s="56" t="str">
        <f ca="1">IF($H6=リスト!$AA$4,"-",
   IF($C6="-","-",
     IF(DP$4&gt;$P6,"-",
       IF(DP$4=1,$E6,OFFSET(DP6,0,-2)-OFFSET(DP6,0,-1)
))))</f>
        <v>-</v>
      </c>
      <c r="DQ6" s="57" t="str">
        <f>IF($H6=リスト!$AA$4,"-",
 IF($C6="-","-",
  IF(DP$4&gt;$P6,"-",
   CHOOSE(MATCH($H$3,リスト!$AE$3:$AE$5,0),
    ROUNDUP(
      DP6*IF(DP6*$I6&lt;=$L6,$J6,$I6)*
      IF($P6=1,
         $S6/12,
         IF(DP$4=1,
            $T6/12,
            IF(DP$4=$P6,
               $U6/12,
               1
      ))),0),
    ROUNDDOWN(
      DP6*IF(DP6*$I6&lt;=$L6,$J6,$I6)*
      IF($P6=1,
         $S6/12,
         IF(DP$4=1,
            $T6/12,
            IF(DP$4=$P6,
               $U6/12,
               1
      ))),0),
    ROUND(
      DP6*IF(DP6*$I6&lt;=$L6,$J6,$I6)*
      IF($P6=1,
         $S6/12,
         IF(DP$4=1,
            $T6/12,
            IF(DP$4=$P6,
               $U6/12,
               1
      ))),0)
))))</f>
        <v>-</v>
      </c>
      <c r="DR6" s="56" t="str">
        <f ca="1">IF($H6=リスト!$AA$4,"-",
   IF($C6="-","-",
     IF(DR$4&gt;$P6,"-",
       IF(DR$4=1,$E6,OFFSET(DR6,0,-2)-OFFSET(DR6,0,-1)
))))</f>
        <v>-</v>
      </c>
      <c r="DS6" s="57" t="str">
        <f>IF($H6=リスト!$AA$4,"-",
 IF($C6="-","-",
  IF(DR$4&gt;$P6,"-",
   CHOOSE(MATCH($H$3,リスト!$AE$3:$AE$5,0),
    ROUNDUP(
      DR6*IF(DR6*$I6&lt;=$L6,$J6,$I6)*
      IF($P6=1,
         $S6/12,
         IF(DR$4=1,
            $T6/12,
            IF(DR$4=$P6,
               $U6/12,
               1
      ))),0),
    ROUNDDOWN(
      DR6*IF(DR6*$I6&lt;=$L6,$J6,$I6)*
      IF($P6=1,
         $S6/12,
         IF(DR$4=1,
            $T6/12,
            IF(DR$4=$P6,
               $U6/12,
               1
      ))),0),
    ROUND(
      DR6*IF(DR6*$I6&lt;=$L6,$J6,$I6)*
      IF($P6=1,
         $S6/12,
         IF(DR$4=1,
            $T6/12,
            IF(DR$4=$P6,
               $U6/12,
               1
      ))),0)
))))</f>
        <v>-</v>
      </c>
      <c r="DT6" s="56" t="str" cm="1">
        <f t="array" ref="DT6">IF($H6&lt;&gt;リスト!$AA$3,"-",$E6-SUMPRODUCT(IFERROR($Y6:$DS6*1,0), --(MOD(COLUMN($Y6:$DS6)-COLUMN($Y6),2)=0)))</f>
        <v>-</v>
      </c>
      <c r="DU6" s="56" t="str">
        <f>IF($H6&lt;&gt;リスト!$AA$4,"-",
    IF($H$3=リスト!$AE$3,$E6-ROUNDUP($E6*I6*$W6/12,0),
    IF($H$3=リスト!$AE$4,$E6-ROUNDDOWN($E6*I6*$W6/12,0),
    IF($H$3=リスト!$AE$5,$E6-ROUND($E6*I6*$W6/12,0),
    "-"))))</f>
        <v>-</v>
      </c>
    </row>
    <row r="7" spans="2:125">
      <c r="B7" s="54">
        <v>2</v>
      </c>
      <c r="C7" s="55" t="str">
        <f>IF(財産処分報告用!$C7="","-",財産処分報告用!$C7)</f>
        <v>-</v>
      </c>
      <c r="D7" s="55" t="str">
        <f>財産処分報告用!$E7</f>
        <v>-</v>
      </c>
      <c r="E7" s="56" t="str">
        <f>IF(財産処分報告用!$J7="","-",財産処分報告用!$J7)</f>
        <v>-</v>
      </c>
      <c r="F7" s="101" t="str">
        <f>IF(財産処分報告用!$K7="","-",財産処分報告用!$K7)</f>
        <v>-</v>
      </c>
      <c r="G7" s="101" t="str">
        <f>IF(財産処分報告用!$L7="","-",財産処分報告用!$L7)</f>
        <v>-</v>
      </c>
      <c r="H7" s="55" t="str">
        <f>IF(財産処分報告用!$M7="","-",財産処分報告用!$M7)</f>
        <v>-</v>
      </c>
      <c r="I7" s="55" t="str">
        <f>IF(OR($D7="-",$H7="-"),"-",INDEX(リスト!$AG$2:$AI$101,MATCH($D7,リスト!$AG$2:$AG$101,0),MATCH($H7,リスト!$AG$2:$AI$2,0)))</f>
        <v>-</v>
      </c>
      <c r="J7" s="55" t="str">
        <f>IF(OR($D7="-",$H7="-"),"-",IF($H7=リスト!$AA$4,"-",INDEX(リスト!$AG$2:$AK$101,MATCH($D7,リスト!$AG$2:$AG$101,0),4)))</f>
        <v>-</v>
      </c>
      <c r="K7" s="55" t="str">
        <f>IF(OR($D7="-",$H7="-"),"-",IF($H7=リスト!$AA$4,"-",INDEX(リスト!$AG$2:$AK$101,MATCH($D7,リスト!$AG$2:$AG$101,0),5)))</f>
        <v>-</v>
      </c>
      <c r="L7" s="56" t="str">
        <f t="shared" si="0"/>
        <v>-</v>
      </c>
      <c r="M7" s="101" t="str">
        <f t="shared" ref="M7:M25" si="1">IF(OR($F7="-",$G7="-",$F$3="-"),"-",
   IF($G$3="-",
   IF($F7&lt;=DATE(YEAR($F7),$F$3+1,0),DATE(YEAR($F7),$F$3+1,0),DATE(YEAR($F7)+1,$F$3+1,0)),
   IF($F7&lt;=DATE(YEAR($F7),$F$3,$G$3),DATE(YEAR($F7),$F$3,$G$3),DATE(YEAR($F7)+1,$F$3,$G$3))
))</f>
        <v>-</v>
      </c>
      <c r="N7" s="101" t="str">
        <f t="shared" ref="N7:N25" si="2">IF(OR($F7="-",$G7="-",$F$3="-"),"-",
   IF($G$3="-",
   IF($G7&lt;=DATE(YEAR($G7),$F$3+1,0),DATE(YEAR($G7),$F$3+1,0),DATE(YEAR($G7)+1,$F$3+1,0)),
   IF($G7&lt;=DATE(YEAR($G7),$F$3,$G$3),DATE(YEAR($G7),$F$3,$G$3),DATE(YEAR($G7)+1,$F$3,$G$3))
))</f>
        <v>-</v>
      </c>
      <c r="O7" s="101" t="str">
        <f t="shared" ref="O7:O25" si="3">IF(OR($F7="-",$G7="-",$F$3="-"),"-",
   IF($G$3="-",
   DATE(YEAR($N7)-1,$F$3+1,0)+1,
   DATE(YEAR($N7)-1,$F$3,$G$3)+1
))</f>
        <v>-</v>
      </c>
      <c r="P7" s="102" t="str">
        <f t="shared" ref="P7:P25" si="4">IF($C7="-","-",
 (YEAR($G7)+IF($G$3="-",
   IF(MONTH($G7)&gt;$F$3,1,0),
   IF(OR(MONTH($G7)&gt;$F$3,AND(MONTH($G7)=$F$3,DAY($G7)&gt;$G$3)),1,0)
 ))
 -(YEAR($F7)+IF($G$3="-",
   IF(MONTH($F7)&gt;$F$3,1,0),
   IF(OR(MONTH($F7)&gt;$F$3,AND(MONTH($F7)=$F$3,DAY($F7)&gt;$G$3)),1,0)
 ))
 +1
)</f>
        <v>-</v>
      </c>
      <c r="Q7" s="115" t="str">
        <f t="shared" ref="Q7:Q25" si="5">IF($C7="-","-",
 $M7-IF($G$3="-",
        DATE(YEAR($M7)-1,$F$3+1,0),
        DATE(YEAR($M7)-1,$F$3,$G$3)
))</f>
        <v>-</v>
      </c>
      <c r="R7" s="116" t="str">
        <f t="shared" ref="R7:R25" si="6">IF($C7="-","-",
 $N7-$O7+1
)</f>
        <v>-</v>
      </c>
      <c r="S7" s="102" t="str">
        <f t="shared" ref="S7:S25" si="7">IF(OR($F7="-",$G7="-",$F$3="-"),"-",
   MAX(0,12*(YEAR($G7)-YEAR($F7))+MONTH($G7)-MONTH($F7)+IF(DAY($G7)&gt;=DAY($F7),1,0))
)</f>
        <v>-</v>
      </c>
      <c r="T7" s="102" t="str">
        <f t="shared" ref="T7:T25" si="8">IF(OR($F7="-",$G7="-",$F$3="-"),"-",
   MAX(0,12*(YEAR($M7)-YEAR($F7))+MONTH($M7)-MONTH($F7)+IF(DAY($M7)&gt;=DAY($F7),1,0))
)</f>
        <v>-</v>
      </c>
      <c r="U7" s="102" t="str">
        <f t="shared" ref="U7:U25" si="9">IF(OR($F7="-",$G7="-",$F$3="-"),"-",
   MAX(0,12*(YEAR($G7)-YEAR($O7))+MONTH($G7)-MONTH($O7)+IF(DAY($G7)&gt;=DAY($O7),1,0))
)</f>
        <v>-</v>
      </c>
      <c r="V7" s="102" t="str">
        <f t="shared" ref="V7:V25" si="10">IF(OR($F7="-",$G7="-",$F$3="-"),"-",
   MAX(0,YEAR($N7)-YEAR($M7)-1)*12
)</f>
        <v>-</v>
      </c>
      <c r="W7" s="55" t="str">
        <f t="shared" ref="W7:W25" si="11">IF(OR($F7="-",$G7="-",$F$3="-"),"-",
   IF(OR($F7="-",$G7="-",$G7&lt;$F7),"-",
   IF($M7=$N7,$S7,$T7+$V7+$U7)
))</f>
        <v>-</v>
      </c>
      <c r="X7" s="56" t="str">
        <f ca="1">IF($H7=リスト!$AA$4,"-",
   IF($C7="-","-",
     IF(X$4&gt;$P7,"-",
       IF(X$4=1,$E7,OFFSET(X7,0,-2)-OFFSET(X7,0,-1)
))))</f>
        <v>-</v>
      </c>
      <c r="Y7" s="57" t="str">
        <f>IF($H7=リスト!$AA$4,"-",
 IF($C7="-","-",
  IF(X$4&gt;$P7,"-",
   CHOOSE(MATCH($H$3,リスト!$AE$3:$AE$5,0),
    ROUNDUP(
      X7*IF(X7*$I7&lt;=$L7,$J7,$I7)*
      IF($P7=1,
         $S7/12,
         IF(X$4=1,
            $T7/12,
            IF(X$4=$P7,
               $U7/12,
               1
      ))),0),
    ROUNDDOWN(
      X7*IF(X7*$I7&lt;=$L7,$J7,$I7)*
      IF($P7=1,
         $S7/12,
         IF(X$4=1,
            $T7/12,
            IF(X$4=$P7,
               $U7/12,
               1
      ))),0),
    ROUND(
      X7*IF(X7*$I7&lt;=$L7,$J7,$I7)*
      IF($P7=1,
         $S7/12,
         IF(X$4=1,
            $T7/12,
            IF(X$4=$P7,
               $U7/12,
               1
      ))),0)
))))</f>
        <v>-</v>
      </c>
      <c r="Z7" s="56" t="str">
        <f ca="1">IF($H7=リスト!$AA$4,"-",
   IF($C7="-","-",
     IF(Z$4&gt;$P7,"-",
       IF(Z$4=1,$E7,OFFSET(Z7,0,-2)-OFFSET(Z7,0,-1)
))))</f>
        <v>-</v>
      </c>
      <c r="AA7" s="57" t="str">
        <f>IF($H7=リスト!$AA$4,"-",
 IF($C7="-","-",
  IF(Z$4&gt;$P7,"-",
   CHOOSE(MATCH($H$3,リスト!$AE$3:$AE$5,0),
    ROUNDUP(
      Z7*IF(Z7*$I7&lt;=$L7,$J7,$I7)*
      IF($P7=1,
         $S7/12,
         IF(Z$4=1,
            $T7/12,
            IF(Z$4=$P7,
               $U7/12,
               1
      ))),0),
    ROUNDDOWN(
      Z7*IF(Z7*$I7&lt;=$L7,$J7,$I7)*
      IF($P7=1,
         $S7/12,
         IF(Z$4=1,
            $T7/12,
            IF(Z$4=$P7,
               $U7/12,
               1
      ))),0),
    ROUND(
      Z7*IF(Z7*$I7&lt;=$L7,$J7,$I7)*
      IF($P7=1,
         $S7/12,
         IF(Z$4=1,
            $T7/12,
            IF(Z$4=$P7,
               $U7/12,
               1
      ))),0)
))))</f>
        <v>-</v>
      </c>
      <c r="AB7" s="56" t="str">
        <f ca="1">IF($H7=リスト!$AA$4,"-",
   IF($C7="-","-",
     IF(AB$4&gt;$P7,"-",
       IF(AB$4=1,$E7,OFFSET(AB7,0,-2)-OFFSET(AB7,0,-1)
))))</f>
        <v>-</v>
      </c>
      <c r="AC7" s="57" t="str">
        <f>IF($H7=リスト!$AA$4,"-",
 IF($C7="-","-",
  IF(AB$4&gt;$P7,"-",
   CHOOSE(MATCH($H$3,リスト!$AE$3:$AE$5,0),
    ROUNDUP(
      AB7*IF(AB7*$I7&lt;=$L7,$J7,$I7)*
      IF($P7=1,
         $S7/12,
         IF(AB$4=1,
            $T7/12,
            IF(AB$4=$P7,
               $U7/12,
               1
      ))),0),
    ROUNDDOWN(
      AB7*IF(AB7*$I7&lt;=$L7,$J7,$I7)*
      IF($P7=1,
         $S7/12,
         IF(AB$4=1,
            $T7/12,
            IF(AB$4=$P7,
               $U7/12,
               1
      ))),0),
    ROUND(
      AB7*IF(AB7*$I7&lt;=$L7,$J7,$I7)*
      IF($P7=1,
         $S7/12,
         IF(AB$4=1,
            $T7/12,
            IF(AB$4=$P7,
               $U7/12,
               1
      ))),0)
))))</f>
        <v>-</v>
      </c>
      <c r="AD7" s="56" t="str">
        <f ca="1">IF($H7=リスト!$AA$4,"-",
   IF($C7="-","-",
     IF(AD$4&gt;$P7,"-",
       IF(AD$4=1,$E7,OFFSET(AD7,0,-2)-OFFSET(AD7,0,-1)
))))</f>
        <v>-</v>
      </c>
      <c r="AE7" s="57" t="str">
        <f>IF($H7=リスト!$AA$4,"-",
 IF($C7="-","-",
  IF(AD$4&gt;$P7,"-",
   CHOOSE(MATCH($H$3,リスト!$AE$3:$AE$5,0),
    ROUNDUP(
      AD7*IF(AD7*$I7&lt;=$L7,$J7,$I7)*
      IF($P7=1,
         $S7/12,
         IF(AD$4=1,
            $T7/12,
            IF(AD$4=$P7,
               $U7/12,
               1
      ))),0),
    ROUNDDOWN(
      AD7*IF(AD7*$I7&lt;=$L7,$J7,$I7)*
      IF($P7=1,
         $S7/12,
         IF(AD$4=1,
            $T7/12,
            IF(AD$4=$P7,
               $U7/12,
               1
      ))),0),
    ROUND(
      AD7*IF(AD7*$I7&lt;=$L7,$J7,$I7)*
      IF($P7=1,
         $S7/12,
         IF(AD$4=1,
            $T7/12,
            IF(AD$4=$P7,
               $U7/12,
               1
      ))),0)
))))</f>
        <v>-</v>
      </c>
      <c r="AF7" s="56" t="str">
        <f ca="1">IF($H7=リスト!$AA$4,"-",
   IF($C7="-","-",
     IF(AF$4&gt;$P7,"-",
       IF(AF$4=1,$E7,OFFSET(AF7,0,-2)-OFFSET(AF7,0,-1)
))))</f>
        <v>-</v>
      </c>
      <c r="AG7" s="57" t="str">
        <f>IF($H7=リスト!$AA$4,"-",
 IF($C7="-","-",
  IF(AF$4&gt;$P7,"-",
   CHOOSE(MATCH($H$3,リスト!$AE$3:$AE$5,0),
    ROUNDUP(
      AF7*IF(AF7*$I7&lt;=$L7,$J7,$I7)*
      IF($P7=1,
         $S7/12,
         IF(AF$4=1,
            $T7/12,
            IF(AF$4=$P7,
               $U7/12,
               1
      ))),0),
    ROUNDDOWN(
      AF7*IF(AF7*$I7&lt;=$L7,$J7,$I7)*
      IF($P7=1,
         $S7/12,
         IF(AF$4=1,
            $T7/12,
            IF(AF$4=$P7,
               $U7/12,
               1
      ))),0),
    ROUND(
      AF7*IF(AF7*$I7&lt;=$L7,$J7,$I7)*
      IF($P7=1,
         $S7/12,
         IF(AF$4=1,
            $T7/12,
            IF(AF$4=$P7,
               $U7/12,
               1
      ))),0)
))))</f>
        <v>-</v>
      </c>
      <c r="AH7" s="56" t="str">
        <f ca="1">IF($H7=リスト!$AA$4,"-",
   IF($C7="-","-",
     IF(AH$4&gt;$P7,"-",
       IF(AH$4=1,$E7,OFFSET(AH7,0,-2)-OFFSET(AH7,0,-1)
))))</f>
        <v>-</v>
      </c>
      <c r="AI7" s="57" t="str">
        <f>IF($H7=リスト!$AA$4,"-",
 IF($C7="-","-",
  IF(AH$4&gt;$P7,"-",
   CHOOSE(MATCH($H$3,リスト!$AE$3:$AE$5,0),
    ROUNDUP(
      AH7*IF(AH7*$I7&lt;=$L7,$J7,$I7)*
      IF($P7=1,
         $S7/12,
         IF(AH$4=1,
            $T7/12,
            IF(AH$4=$P7,
               $U7/12,
               1
      ))),0),
    ROUNDDOWN(
      AH7*IF(AH7*$I7&lt;=$L7,$J7,$I7)*
      IF($P7=1,
         $S7/12,
         IF(AH$4=1,
            $T7/12,
            IF(AH$4=$P7,
               $U7/12,
               1
      ))),0),
    ROUND(
      AH7*IF(AH7*$I7&lt;=$L7,$J7,$I7)*
      IF($P7=1,
         $S7/12,
         IF(AH$4=1,
            $T7/12,
            IF(AH$4=$P7,
               $U7/12,
               1
      ))),0)
))))</f>
        <v>-</v>
      </c>
      <c r="AJ7" s="56" t="str">
        <f ca="1">IF($H7=リスト!$AA$4,"-",
   IF($C7="-","-",
     IF(AJ$4&gt;$P7,"-",
       IF(AJ$4=1,$E7,OFFSET(AJ7,0,-2)-OFFSET(AJ7,0,-1)
))))</f>
        <v>-</v>
      </c>
      <c r="AK7" s="57" t="str">
        <f>IF($H7=リスト!$AA$4,"-",
 IF($C7="-","-",
  IF(AJ$4&gt;$P7,"-",
   CHOOSE(MATCH($H$3,リスト!$AE$3:$AE$5,0),
    ROUNDUP(
      AJ7*IF(AJ7*$I7&lt;=$L7,$J7,$I7)*
      IF($P7=1,
         $S7/12,
         IF(AJ$4=1,
            $T7/12,
            IF(AJ$4=$P7,
               $U7/12,
               1
      ))),0),
    ROUNDDOWN(
      AJ7*IF(AJ7*$I7&lt;=$L7,$J7,$I7)*
      IF($P7=1,
         $S7/12,
         IF(AJ$4=1,
            $T7/12,
            IF(AJ$4=$P7,
               $U7/12,
               1
      ))),0),
    ROUND(
      AJ7*IF(AJ7*$I7&lt;=$L7,$J7,$I7)*
      IF($P7=1,
         $S7/12,
         IF(AJ$4=1,
            $T7/12,
            IF(AJ$4=$P7,
               $U7/12,
               1
      ))),0)
))))</f>
        <v>-</v>
      </c>
      <c r="AL7" s="56" t="str">
        <f ca="1">IF($H7=リスト!$AA$4,"-",
   IF($C7="-","-",
     IF(AL$4&gt;$P7,"-",
       IF(AL$4=1,$E7,OFFSET(AL7,0,-2)-OFFSET(AL7,0,-1)
))))</f>
        <v>-</v>
      </c>
      <c r="AM7" s="57" t="str">
        <f>IF($H7=リスト!$AA$4,"-",
 IF($C7="-","-",
  IF(AL$4&gt;$P7,"-",
   CHOOSE(MATCH($H$3,リスト!$AE$3:$AE$5,0),
    ROUNDUP(
      AL7*IF(AL7*$I7&lt;=$L7,$J7,$I7)*
      IF($P7=1,
         $S7/12,
         IF(AL$4=1,
            $T7/12,
            IF(AL$4=$P7,
               $U7/12,
               1
      ))),0),
    ROUNDDOWN(
      AL7*IF(AL7*$I7&lt;=$L7,$J7,$I7)*
      IF($P7=1,
         $S7/12,
         IF(AL$4=1,
            $T7/12,
            IF(AL$4=$P7,
               $U7/12,
               1
      ))),0),
    ROUND(
      AL7*IF(AL7*$I7&lt;=$L7,$J7,$I7)*
      IF($P7=1,
         $S7/12,
         IF(AL$4=1,
            $T7/12,
            IF(AL$4=$P7,
               $U7/12,
               1
      ))),0)
))))</f>
        <v>-</v>
      </c>
      <c r="AN7" s="56" t="str">
        <f ca="1">IF($H7=リスト!$AA$4,"-",
   IF($C7="-","-",
     IF(AN$4&gt;$P7,"-",
       IF(AN$4=1,$E7,OFFSET(AN7,0,-2)-OFFSET(AN7,0,-1)
))))</f>
        <v>-</v>
      </c>
      <c r="AO7" s="57" t="str">
        <f>IF($H7=リスト!$AA$4,"-",
 IF($C7="-","-",
  IF(AN$4&gt;$P7,"-",
   CHOOSE(MATCH($H$3,リスト!$AE$3:$AE$5,0),
    ROUNDUP(
      AN7*IF(AN7*$I7&lt;=$L7,$J7,$I7)*
      IF($P7=1,
         $S7/12,
         IF(AN$4=1,
            $T7/12,
            IF(AN$4=$P7,
               $U7/12,
               1
      ))),0),
    ROUNDDOWN(
      AN7*IF(AN7*$I7&lt;=$L7,$J7,$I7)*
      IF($P7=1,
         $S7/12,
         IF(AN$4=1,
            $T7/12,
            IF(AN$4=$P7,
               $U7/12,
               1
      ))),0),
    ROUND(
      AN7*IF(AN7*$I7&lt;=$L7,$J7,$I7)*
      IF($P7=1,
         $S7/12,
         IF(AN$4=1,
            $T7/12,
            IF(AN$4=$P7,
               $U7/12,
               1
      ))),0)
))))</f>
        <v>-</v>
      </c>
      <c r="AP7" s="56" t="str">
        <f ca="1">IF($H7=リスト!$AA$4,"-",
   IF($C7="-","-",
     IF(AP$4&gt;$P7,"-",
       IF(AP$4=1,$E7,OFFSET(AP7,0,-2)-OFFSET(AP7,0,-1)
))))</f>
        <v>-</v>
      </c>
      <c r="AQ7" s="57" t="str">
        <f>IF($H7=リスト!$AA$4,"-",
 IF($C7="-","-",
  IF(AP$4&gt;$P7,"-",
   CHOOSE(MATCH($H$3,リスト!$AE$3:$AE$5,0),
    ROUNDUP(
      AP7*IF(AP7*$I7&lt;=$L7,$J7,$I7)*
      IF($P7=1,
         $S7/12,
         IF(AP$4=1,
            $T7/12,
            IF(AP$4=$P7,
               $U7/12,
               1
      ))),0),
    ROUNDDOWN(
      AP7*IF(AP7*$I7&lt;=$L7,$J7,$I7)*
      IF($P7=1,
         $S7/12,
         IF(AP$4=1,
            $T7/12,
            IF(AP$4=$P7,
               $U7/12,
               1
      ))),0),
    ROUND(
      AP7*IF(AP7*$I7&lt;=$L7,$J7,$I7)*
      IF($P7=1,
         $S7/12,
         IF(AP$4=1,
            $T7/12,
            IF(AP$4=$P7,
               $U7/12,
               1
      ))),0)
))))</f>
        <v>-</v>
      </c>
      <c r="AR7" s="56" t="str">
        <f ca="1">IF($H7=リスト!$AA$4,"-",
   IF($C7="-","-",
     IF(AR$4&gt;$P7,"-",
       IF(AR$4=1,$E7,OFFSET(AR7,0,-2)-OFFSET(AR7,0,-1)
))))</f>
        <v>-</v>
      </c>
      <c r="AS7" s="57" t="str">
        <f>IF($H7=リスト!$AA$4,"-",
 IF($C7="-","-",
  IF(AR$4&gt;$P7,"-",
   CHOOSE(MATCH($H$3,リスト!$AE$3:$AE$5,0),
    ROUNDUP(
      AR7*IF(AR7*$I7&lt;=$L7,$J7,$I7)*
      IF($P7=1,
         $S7/12,
         IF(AR$4=1,
            $T7/12,
            IF(AR$4=$P7,
               $U7/12,
               1
      ))),0),
    ROUNDDOWN(
      AR7*IF(AR7*$I7&lt;=$L7,$J7,$I7)*
      IF($P7=1,
         $S7/12,
         IF(AR$4=1,
            $T7/12,
            IF(AR$4=$P7,
               $U7/12,
               1
      ))),0),
    ROUND(
      AR7*IF(AR7*$I7&lt;=$L7,$J7,$I7)*
      IF($P7=1,
         $S7/12,
         IF(AR$4=1,
            $T7/12,
            IF(AR$4=$P7,
               $U7/12,
               1
      ))),0)
))))</f>
        <v>-</v>
      </c>
      <c r="AT7" s="56" t="str">
        <f ca="1">IF($H7=リスト!$AA$4,"-",
   IF($C7="-","-",
     IF(AT$4&gt;$P7,"-",
       IF(AT$4=1,$E7,OFFSET(AT7,0,-2)-OFFSET(AT7,0,-1)
))))</f>
        <v>-</v>
      </c>
      <c r="AU7" s="57" t="str">
        <f>IF($H7=リスト!$AA$4,"-",
 IF($C7="-","-",
  IF(AT$4&gt;$P7,"-",
   CHOOSE(MATCH($H$3,リスト!$AE$3:$AE$5,0),
    ROUNDUP(
      AT7*IF(AT7*$I7&lt;=$L7,$J7,$I7)*
      IF($P7=1,
         $S7/12,
         IF(AT$4=1,
            $T7/12,
            IF(AT$4=$P7,
               $U7/12,
               1
      ))),0),
    ROUNDDOWN(
      AT7*IF(AT7*$I7&lt;=$L7,$J7,$I7)*
      IF($P7=1,
         $S7/12,
         IF(AT$4=1,
            $T7/12,
            IF(AT$4=$P7,
               $U7/12,
               1
      ))),0),
    ROUND(
      AT7*IF(AT7*$I7&lt;=$L7,$J7,$I7)*
      IF($P7=1,
         $S7/12,
         IF(AT$4=1,
            $T7/12,
            IF(AT$4=$P7,
               $U7/12,
               1
      ))),0)
))))</f>
        <v>-</v>
      </c>
      <c r="AV7" s="56" t="str">
        <f ca="1">IF($H7=リスト!$AA$4,"-",
   IF($C7="-","-",
     IF(AV$4&gt;$P7,"-",
       IF(AV$4=1,$E7,OFFSET(AV7,0,-2)-OFFSET(AV7,0,-1)
))))</f>
        <v>-</v>
      </c>
      <c r="AW7" s="57" t="str">
        <f>IF($H7=リスト!$AA$4,"-",
 IF($C7="-","-",
  IF(AV$4&gt;$P7,"-",
   CHOOSE(MATCH($H$3,リスト!$AE$3:$AE$5,0),
    ROUNDUP(
      AV7*IF(AV7*$I7&lt;=$L7,$J7,$I7)*
      IF($P7=1,
         $S7/12,
         IF(AV$4=1,
            $T7/12,
            IF(AV$4=$P7,
               $U7/12,
               1
      ))),0),
    ROUNDDOWN(
      AV7*IF(AV7*$I7&lt;=$L7,$J7,$I7)*
      IF($P7=1,
         $S7/12,
         IF(AV$4=1,
            $T7/12,
            IF(AV$4=$P7,
               $U7/12,
               1
      ))),0),
    ROUND(
      AV7*IF(AV7*$I7&lt;=$L7,$J7,$I7)*
      IF($P7=1,
         $S7/12,
         IF(AV$4=1,
            $T7/12,
            IF(AV$4=$P7,
               $U7/12,
               1
      ))),0)
))))</f>
        <v>-</v>
      </c>
      <c r="AX7" s="56" t="str">
        <f ca="1">IF($H7=リスト!$AA$4,"-",
   IF($C7="-","-",
     IF(AX$4&gt;$P7,"-",
       IF(AX$4=1,$E7,OFFSET(AX7,0,-2)-OFFSET(AX7,0,-1)
))))</f>
        <v>-</v>
      </c>
      <c r="AY7" s="57" t="str">
        <f>IF($H7=リスト!$AA$4,"-",
 IF($C7="-","-",
  IF(AX$4&gt;$P7,"-",
   CHOOSE(MATCH($H$3,リスト!$AE$3:$AE$5,0),
    ROUNDUP(
      AX7*IF(AX7*$I7&lt;=$L7,$J7,$I7)*
      IF($P7=1,
         $S7/12,
         IF(AX$4=1,
            $T7/12,
            IF(AX$4=$P7,
               $U7/12,
               1
      ))),0),
    ROUNDDOWN(
      AX7*IF(AX7*$I7&lt;=$L7,$J7,$I7)*
      IF($P7=1,
         $S7/12,
         IF(AX$4=1,
            $T7/12,
            IF(AX$4=$P7,
               $U7/12,
               1
      ))),0),
    ROUND(
      AX7*IF(AX7*$I7&lt;=$L7,$J7,$I7)*
      IF($P7=1,
         $S7/12,
         IF(AX$4=1,
            $T7/12,
            IF(AX$4=$P7,
               $U7/12,
               1
      ))),0)
))))</f>
        <v>-</v>
      </c>
      <c r="AZ7" s="56" t="str">
        <f ca="1">IF($H7=リスト!$AA$4,"-",
   IF($C7="-","-",
     IF(AZ$4&gt;$P7,"-",
       IF(AZ$4=1,$E7,OFFSET(AZ7,0,-2)-OFFSET(AZ7,0,-1)
))))</f>
        <v>-</v>
      </c>
      <c r="BA7" s="57" t="str">
        <f>IF($H7=リスト!$AA$4,"-",
 IF($C7="-","-",
  IF(AZ$4&gt;$P7,"-",
   CHOOSE(MATCH($H$3,リスト!$AE$3:$AE$5,0),
    ROUNDUP(
      AZ7*IF(AZ7*$I7&lt;=$L7,$J7,$I7)*
      IF($P7=1,
         $S7/12,
         IF(AZ$4=1,
            $T7/12,
            IF(AZ$4=$P7,
               $U7/12,
               1
      ))),0),
    ROUNDDOWN(
      AZ7*IF(AZ7*$I7&lt;=$L7,$J7,$I7)*
      IF($P7=1,
         $S7/12,
         IF(AZ$4=1,
            $T7/12,
            IF(AZ$4=$P7,
               $U7/12,
               1
      ))),0),
    ROUND(
      AZ7*IF(AZ7*$I7&lt;=$L7,$J7,$I7)*
      IF($P7=1,
         $S7/12,
         IF(AZ$4=1,
            $T7/12,
            IF(AZ$4=$P7,
               $U7/12,
               1
      ))),0)
))))</f>
        <v>-</v>
      </c>
      <c r="BB7" s="56" t="str">
        <f ca="1">IF($H7=リスト!$AA$4,"-",
   IF($C7="-","-",
     IF(BB$4&gt;$P7,"-",
       IF(BB$4=1,$E7,OFFSET(BB7,0,-2)-OFFSET(BB7,0,-1)
))))</f>
        <v>-</v>
      </c>
      <c r="BC7" s="57" t="str">
        <f>IF($H7=リスト!$AA$4,"-",
 IF($C7="-","-",
  IF(BB$4&gt;$P7,"-",
   CHOOSE(MATCH($H$3,リスト!$AE$3:$AE$5,0),
    ROUNDUP(
      BB7*IF(BB7*$I7&lt;=$L7,$J7,$I7)*
      IF($P7=1,
         $S7/12,
         IF(BB$4=1,
            $T7/12,
            IF(BB$4=$P7,
               $U7/12,
               1
      ))),0),
    ROUNDDOWN(
      BB7*IF(BB7*$I7&lt;=$L7,$J7,$I7)*
      IF($P7=1,
         $S7/12,
         IF(BB$4=1,
            $T7/12,
            IF(BB$4=$P7,
               $U7/12,
               1
      ))),0),
    ROUND(
      BB7*IF(BB7*$I7&lt;=$L7,$J7,$I7)*
      IF($P7=1,
         $S7/12,
         IF(BB$4=1,
            $T7/12,
            IF(BB$4=$P7,
               $U7/12,
               1
      ))),0)
))))</f>
        <v>-</v>
      </c>
      <c r="BD7" s="56" t="str">
        <f ca="1">IF($H7=リスト!$AA$4,"-",
   IF($C7="-","-",
     IF(BD$4&gt;$P7,"-",
       IF(BD$4=1,$E7,OFFSET(BD7,0,-2)-OFFSET(BD7,0,-1)
))))</f>
        <v>-</v>
      </c>
      <c r="BE7" s="57" t="str">
        <f>IF($H7=リスト!$AA$4,"-",
 IF($C7="-","-",
  IF(BD$4&gt;$P7,"-",
   CHOOSE(MATCH($H$3,リスト!$AE$3:$AE$5,0),
    ROUNDUP(
      BD7*IF(BD7*$I7&lt;=$L7,$J7,$I7)*
      IF($P7=1,
         $S7/12,
         IF(BD$4=1,
            $T7/12,
            IF(BD$4=$P7,
               $U7/12,
               1
      ))),0),
    ROUNDDOWN(
      BD7*IF(BD7*$I7&lt;=$L7,$J7,$I7)*
      IF($P7=1,
         $S7/12,
         IF(BD$4=1,
            $T7/12,
            IF(BD$4=$P7,
               $U7/12,
               1
      ))),0),
    ROUND(
      BD7*IF(BD7*$I7&lt;=$L7,$J7,$I7)*
      IF($P7=1,
         $S7/12,
         IF(BD$4=1,
            $T7/12,
            IF(BD$4=$P7,
               $U7/12,
               1
      ))),0)
))))</f>
        <v>-</v>
      </c>
      <c r="BF7" s="56" t="str">
        <f ca="1">IF($H7=リスト!$AA$4,"-",
   IF($C7="-","-",
     IF(BF$4&gt;$P7,"-",
       IF(BF$4=1,$E7,OFFSET(BF7,0,-2)-OFFSET(BF7,0,-1)
))))</f>
        <v>-</v>
      </c>
      <c r="BG7" s="57" t="str">
        <f>IF($H7=リスト!$AA$4,"-",
 IF($C7="-","-",
  IF(BF$4&gt;$P7,"-",
   CHOOSE(MATCH($H$3,リスト!$AE$3:$AE$5,0),
    ROUNDUP(
      BF7*IF(BF7*$I7&lt;=$L7,$J7,$I7)*
      IF($P7=1,
         $S7/12,
         IF(BF$4=1,
            $T7/12,
            IF(BF$4=$P7,
               $U7/12,
               1
      ))),0),
    ROUNDDOWN(
      BF7*IF(BF7*$I7&lt;=$L7,$J7,$I7)*
      IF($P7=1,
         $S7/12,
         IF(BF$4=1,
            $T7/12,
            IF(BF$4=$P7,
               $U7/12,
               1
      ))),0),
    ROUND(
      BF7*IF(BF7*$I7&lt;=$L7,$J7,$I7)*
      IF($P7=1,
         $S7/12,
         IF(BF$4=1,
            $T7/12,
            IF(BF$4=$P7,
               $U7/12,
               1
      ))),0)
))))</f>
        <v>-</v>
      </c>
      <c r="BH7" s="56" t="str">
        <f ca="1">IF($H7=リスト!$AA$4,"-",
   IF($C7="-","-",
     IF(BH$4&gt;$P7,"-",
       IF(BH$4=1,$E7,OFFSET(BH7,0,-2)-OFFSET(BH7,0,-1)
))))</f>
        <v>-</v>
      </c>
      <c r="BI7" s="57" t="str">
        <f>IF($H7=リスト!$AA$4,"-",
 IF($C7="-","-",
  IF(BH$4&gt;$P7,"-",
   CHOOSE(MATCH($H$3,リスト!$AE$3:$AE$5,0),
    ROUNDUP(
      BH7*IF(BH7*$I7&lt;=$L7,$J7,$I7)*
      IF($P7=1,
         $S7/12,
         IF(BH$4=1,
            $T7/12,
            IF(BH$4=$P7,
               $U7/12,
               1
      ))),0),
    ROUNDDOWN(
      BH7*IF(BH7*$I7&lt;=$L7,$J7,$I7)*
      IF($P7=1,
         $S7/12,
         IF(BH$4=1,
            $T7/12,
            IF(BH$4=$P7,
               $U7/12,
               1
      ))),0),
    ROUND(
      BH7*IF(BH7*$I7&lt;=$L7,$J7,$I7)*
      IF($P7=1,
         $S7/12,
         IF(BH$4=1,
            $T7/12,
            IF(BH$4=$P7,
               $U7/12,
               1
      ))),0)
))))</f>
        <v>-</v>
      </c>
      <c r="BJ7" s="56" t="str">
        <f ca="1">IF($H7=リスト!$AA$4,"-",
   IF($C7="-","-",
     IF(BJ$4&gt;$P7,"-",
       IF(BJ$4=1,$E7,OFFSET(BJ7,0,-2)-OFFSET(BJ7,0,-1)
))))</f>
        <v>-</v>
      </c>
      <c r="BK7" s="57" t="str">
        <f>IF($H7=リスト!$AA$4,"-",
 IF($C7="-","-",
  IF(BJ$4&gt;$P7,"-",
   CHOOSE(MATCH($H$3,リスト!$AE$3:$AE$5,0),
    ROUNDUP(
      BJ7*IF(BJ7*$I7&lt;=$L7,$J7,$I7)*
      IF($P7=1,
         $S7/12,
         IF(BJ$4=1,
            $T7/12,
            IF(BJ$4=$P7,
               $U7/12,
               1
      ))),0),
    ROUNDDOWN(
      BJ7*IF(BJ7*$I7&lt;=$L7,$J7,$I7)*
      IF($P7=1,
         $S7/12,
         IF(BJ$4=1,
            $T7/12,
            IF(BJ$4=$P7,
               $U7/12,
               1
      ))),0),
    ROUND(
      BJ7*IF(BJ7*$I7&lt;=$L7,$J7,$I7)*
      IF($P7=1,
         $S7/12,
         IF(BJ$4=1,
            $T7/12,
            IF(BJ$4=$P7,
               $U7/12,
               1
      ))),0)
))))</f>
        <v>-</v>
      </c>
      <c r="BL7" s="56" t="str">
        <f ca="1">IF($H7=リスト!$AA$4,"-",
   IF($C7="-","-",
     IF(BL$4&gt;$P7,"-",
       IF(BL$4=1,$E7,OFFSET(BL7,0,-2)-OFFSET(BL7,0,-1)
))))</f>
        <v>-</v>
      </c>
      <c r="BM7" s="57" t="str">
        <f>IF($H7=リスト!$AA$4,"-",
 IF($C7="-","-",
  IF(BL$4&gt;$P7,"-",
   CHOOSE(MATCH($H$3,リスト!$AE$3:$AE$5,0),
    ROUNDUP(
      BL7*IF(BL7*$I7&lt;=$L7,$J7,$I7)*
      IF($P7=1,
         $S7/12,
         IF(BL$4=1,
            $T7/12,
            IF(BL$4=$P7,
               $U7/12,
               1
      ))),0),
    ROUNDDOWN(
      BL7*IF(BL7*$I7&lt;=$L7,$J7,$I7)*
      IF($P7=1,
         $S7/12,
         IF(BL$4=1,
            $T7/12,
            IF(BL$4=$P7,
               $U7/12,
               1
      ))),0),
    ROUND(
      BL7*IF(BL7*$I7&lt;=$L7,$J7,$I7)*
      IF($P7=1,
         $S7/12,
         IF(BL$4=1,
            $T7/12,
            IF(BL$4=$P7,
               $U7/12,
               1
      ))),0)
))))</f>
        <v>-</v>
      </c>
      <c r="BN7" s="56" t="str">
        <f ca="1">IF($H7=リスト!$AA$4,"-",
   IF($C7="-","-",
     IF(BN$4&gt;$P7,"-",
       IF(BN$4=1,$E7,OFFSET(BN7,0,-2)-OFFSET(BN7,0,-1)
))))</f>
        <v>-</v>
      </c>
      <c r="BO7" s="57" t="str">
        <f>IF($H7=リスト!$AA$4,"-",
 IF($C7="-","-",
  IF(BN$4&gt;$P7,"-",
   CHOOSE(MATCH($H$3,リスト!$AE$3:$AE$5,0),
    ROUNDUP(
      BN7*IF(BN7*$I7&lt;=$L7,$J7,$I7)*
      IF($P7=1,
         $S7/12,
         IF(BN$4=1,
            $T7/12,
            IF(BN$4=$P7,
               $U7/12,
               1
      ))),0),
    ROUNDDOWN(
      BN7*IF(BN7*$I7&lt;=$L7,$J7,$I7)*
      IF($P7=1,
         $S7/12,
         IF(BN$4=1,
            $T7/12,
            IF(BN$4=$P7,
               $U7/12,
               1
      ))),0),
    ROUND(
      BN7*IF(BN7*$I7&lt;=$L7,$J7,$I7)*
      IF($P7=1,
         $S7/12,
         IF(BN$4=1,
            $T7/12,
            IF(BN$4=$P7,
               $U7/12,
               1
      ))),0)
))))</f>
        <v>-</v>
      </c>
      <c r="BP7" s="56" t="str">
        <f ca="1">IF($H7=リスト!$AA$4,"-",
   IF($C7="-","-",
     IF(BP$4&gt;$P7,"-",
       IF(BP$4=1,$E7,OFFSET(BP7,0,-2)-OFFSET(BP7,0,-1)
))))</f>
        <v>-</v>
      </c>
      <c r="BQ7" s="57" t="str">
        <f>IF($H7=リスト!$AA$4,"-",
 IF($C7="-","-",
  IF(BP$4&gt;$P7,"-",
   CHOOSE(MATCH($H$3,リスト!$AE$3:$AE$5,0),
    ROUNDUP(
      BP7*IF(BP7*$I7&lt;=$L7,$J7,$I7)*
      IF($P7=1,
         $S7/12,
         IF(BP$4=1,
            $T7/12,
            IF(BP$4=$P7,
               $U7/12,
               1
      ))),0),
    ROUNDDOWN(
      BP7*IF(BP7*$I7&lt;=$L7,$J7,$I7)*
      IF($P7=1,
         $S7/12,
         IF(BP$4=1,
            $T7/12,
            IF(BP$4=$P7,
               $U7/12,
               1
      ))),0),
    ROUND(
      BP7*IF(BP7*$I7&lt;=$L7,$J7,$I7)*
      IF($P7=1,
         $S7/12,
         IF(BP$4=1,
            $T7/12,
            IF(BP$4=$P7,
               $U7/12,
               1
      ))),0)
))))</f>
        <v>-</v>
      </c>
      <c r="BR7" s="56" t="str">
        <f ca="1">IF($H7=リスト!$AA$4,"-",
   IF($C7="-","-",
     IF(BR$4&gt;$P7,"-",
       IF(BR$4=1,$E7,OFFSET(BR7,0,-2)-OFFSET(BR7,0,-1)
))))</f>
        <v>-</v>
      </c>
      <c r="BS7" s="57" t="str">
        <f>IF($H7=リスト!$AA$4,"-",
 IF($C7="-","-",
  IF(BR$4&gt;$P7,"-",
   CHOOSE(MATCH($H$3,リスト!$AE$3:$AE$5,0),
    ROUNDUP(
      BR7*IF(BR7*$I7&lt;=$L7,$J7,$I7)*
      IF($P7=1,
         $S7/12,
         IF(BR$4=1,
            $T7/12,
            IF(BR$4=$P7,
               $U7/12,
               1
      ))),0),
    ROUNDDOWN(
      BR7*IF(BR7*$I7&lt;=$L7,$J7,$I7)*
      IF($P7=1,
         $S7/12,
         IF(BR$4=1,
            $T7/12,
            IF(BR$4=$P7,
               $U7/12,
               1
      ))),0),
    ROUND(
      BR7*IF(BR7*$I7&lt;=$L7,$J7,$I7)*
      IF($P7=1,
         $S7/12,
         IF(BR$4=1,
            $T7/12,
            IF(BR$4=$P7,
               $U7/12,
               1
      ))),0)
))))</f>
        <v>-</v>
      </c>
      <c r="BT7" s="56" t="str">
        <f ca="1">IF($H7=リスト!$AA$4,"-",
   IF($C7="-","-",
     IF(BT$4&gt;$P7,"-",
       IF(BT$4=1,$E7,OFFSET(BT7,0,-2)-OFFSET(BT7,0,-1)
))))</f>
        <v>-</v>
      </c>
      <c r="BU7" s="57" t="str">
        <f>IF($H7=リスト!$AA$4,"-",
 IF($C7="-","-",
  IF(BT$4&gt;$P7,"-",
   CHOOSE(MATCH($H$3,リスト!$AE$3:$AE$5,0),
    ROUNDUP(
      BT7*IF(BT7*$I7&lt;=$L7,$J7,$I7)*
      IF($P7=1,
         $S7/12,
         IF(BT$4=1,
            $T7/12,
            IF(BT$4=$P7,
               $U7/12,
               1
      ))),0),
    ROUNDDOWN(
      BT7*IF(BT7*$I7&lt;=$L7,$J7,$I7)*
      IF($P7=1,
         $S7/12,
         IF(BT$4=1,
            $T7/12,
            IF(BT$4=$P7,
               $U7/12,
               1
      ))),0),
    ROUND(
      BT7*IF(BT7*$I7&lt;=$L7,$J7,$I7)*
      IF($P7=1,
         $S7/12,
         IF(BT$4=1,
            $T7/12,
            IF(BT$4=$P7,
               $U7/12,
               1
      ))),0)
))))</f>
        <v>-</v>
      </c>
      <c r="BV7" s="56" t="str">
        <f ca="1">IF($H7=リスト!$AA$4,"-",
   IF($C7="-","-",
     IF(BV$4&gt;$P7,"-",
       IF(BV$4=1,$E7,OFFSET(BV7,0,-2)-OFFSET(BV7,0,-1)
))))</f>
        <v>-</v>
      </c>
      <c r="BW7" s="57" t="str">
        <f>IF($H7=リスト!$AA$4,"-",
 IF($C7="-","-",
  IF(BV$4&gt;$P7,"-",
   CHOOSE(MATCH($H$3,リスト!$AE$3:$AE$5,0),
    ROUNDUP(
      BV7*IF(BV7*$I7&lt;=$L7,$J7,$I7)*
      IF($P7=1,
         $S7/12,
         IF(BV$4=1,
            $T7/12,
            IF(BV$4=$P7,
               $U7/12,
               1
      ))),0),
    ROUNDDOWN(
      BV7*IF(BV7*$I7&lt;=$L7,$J7,$I7)*
      IF($P7=1,
         $S7/12,
         IF(BV$4=1,
            $T7/12,
            IF(BV$4=$P7,
               $U7/12,
               1
      ))),0),
    ROUND(
      BV7*IF(BV7*$I7&lt;=$L7,$J7,$I7)*
      IF($P7=1,
         $S7/12,
         IF(BV$4=1,
            $T7/12,
            IF(BV$4=$P7,
               $U7/12,
               1
      ))),0)
))))</f>
        <v>-</v>
      </c>
      <c r="BX7" s="56" t="str">
        <f ca="1">IF($H7=リスト!$AA$4,"-",
   IF($C7="-","-",
     IF(BX$4&gt;$P7,"-",
       IF(BX$4=1,$E7,OFFSET(BX7,0,-2)-OFFSET(BX7,0,-1)
))))</f>
        <v>-</v>
      </c>
      <c r="BY7" s="57" t="str">
        <f>IF($H7=リスト!$AA$4,"-",
 IF($C7="-","-",
  IF(BX$4&gt;$P7,"-",
   CHOOSE(MATCH($H$3,リスト!$AE$3:$AE$5,0),
    ROUNDUP(
      BX7*IF(BX7*$I7&lt;=$L7,$J7,$I7)*
      IF($P7=1,
         $S7/12,
         IF(BX$4=1,
            $T7/12,
            IF(BX$4=$P7,
               $U7/12,
               1
      ))),0),
    ROUNDDOWN(
      BX7*IF(BX7*$I7&lt;=$L7,$J7,$I7)*
      IF($P7=1,
         $S7/12,
         IF(BX$4=1,
            $T7/12,
            IF(BX$4=$P7,
               $U7/12,
               1
      ))),0),
    ROUND(
      BX7*IF(BX7*$I7&lt;=$L7,$J7,$I7)*
      IF($P7=1,
         $S7/12,
         IF(BX$4=1,
            $T7/12,
            IF(BX$4=$P7,
               $U7/12,
               1
      ))),0)
))))</f>
        <v>-</v>
      </c>
      <c r="BZ7" s="56" t="str">
        <f ca="1">IF($H7=リスト!$AA$4,"-",
   IF($C7="-","-",
     IF(BZ$4&gt;$P7,"-",
       IF(BZ$4=1,$E7,OFFSET(BZ7,0,-2)-OFFSET(BZ7,0,-1)
))))</f>
        <v>-</v>
      </c>
      <c r="CA7" s="57" t="str">
        <f>IF($H7=リスト!$AA$4,"-",
 IF($C7="-","-",
  IF(BZ$4&gt;$P7,"-",
   CHOOSE(MATCH($H$3,リスト!$AE$3:$AE$5,0),
    ROUNDUP(
      BZ7*IF(BZ7*$I7&lt;=$L7,$J7,$I7)*
      IF($P7=1,
         $S7/12,
         IF(BZ$4=1,
            $T7/12,
            IF(BZ$4=$P7,
               $U7/12,
               1
      ))),0),
    ROUNDDOWN(
      BZ7*IF(BZ7*$I7&lt;=$L7,$J7,$I7)*
      IF($P7=1,
         $S7/12,
         IF(BZ$4=1,
            $T7/12,
            IF(BZ$4=$P7,
               $U7/12,
               1
      ))),0),
    ROUND(
      BZ7*IF(BZ7*$I7&lt;=$L7,$J7,$I7)*
      IF($P7=1,
         $S7/12,
         IF(BZ$4=1,
            $T7/12,
            IF(BZ$4=$P7,
               $U7/12,
               1
      ))),0)
))))</f>
        <v>-</v>
      </c>
      <c r="CB7" s="56" t="str">
        <f ca="1">IF($H7=リスト!$AA$4,"-",
   IF($C7="-","-",
     IF(CB$4&gt;$P7,"-",
       IF(CB$4=1,$E7,OFFSET(CB7,0,-2)-OFFSET(CB7,0,-1)
))))</f>
        <v>-</v>
      </c>
      <c r="CC7" s="57" t="str">
        <f>IF($H7=リスト!$AA$4,"-",
 IF($C7="-","-",
  IF(CB$4&gt;$P7,"-",
   CHOOSE(MATCH($H$3,リスト!$AE$3:$AE$5,0),
    ROUNDUP(
      CB7*IF(CB7*$I7&lt;=$L7,$J7,$I7)*
      IF($P7=1,
         $S7/12,
         IF(CB$4=1,
            $T7/12,
            IF(CB$4=$P7,
               $U7/12,
               1
      ))),0),
    ROUNDDOWN(
      CB7*IF(CB7*$I7&lt;=$L7,$J7,$I7)*
      IF($P7=1,
         $S7/12,
         IF(CB$4=1,
            $T7/12,
            IF(CB$4=$P7,
               $U7/12,
               1
      ))),0),
    ROUND(
      CB7*IF(CB7*$I7&lt;=$L7,$J7,$I7)*
      IF($P7=1,
         $S7/12,
         IF(CB$4=1,
            $T7/12,
            IF(CB$4=$P7,
               $U7/12,
               1
      ))),0)
))))</f>
        <v>-</v>
      </c>
      <c r="CD7" s="56" t="str">
        <f ca="1">IF($H7=リスト!$AA$4,"-",
   IF($C7="-","-",
     IF(CD$4&gt;$P7,"-",
       IF(CD$4=1,$E7,OFFSET(CD7,0,-2)-OFFSET(CD7,0,-1)
))))</f>
        <v>-</v>
      </c>
      <c r="CE7" s="57" t="str">
        <f>IF($H7=リスト!$AA$4,"-",
 IF($C7="-","-",
  IF(CD$4&gt;$P7,"-",
   CHOOSE(MATCH($H$3,リスト!$AE$3:$AE$5,0),
    ROUNDUP(
      CD7*IF(CD7*$I7&lt;=$L7,$J7,$I7)*
      IF($P7=1,
         $S7/12,
         IF(CD$4=1,
            $T7/12,
            IF(CD$4=$P7,
               $U7/12,
               1
      ))),0),
    ROUNDDOWN(
      CD7*IF(CD7*$I7&lt;=$L7,$J7,$I7)*
      IF($P7=1,
         $S7/12,
         IF(CD$4=1,
            $T7/12,
            IF(CD$4=$P7,
               $U7/12,
               1
      ))),0),
    ROUND(
      CD7*IF(CD7*$I7&lt;=$L7,$J7,$I7)*
      IF($P7=1,
         $S7/12,
         IF(CD$4=1,
            $T7/12,
            IF(CD$4=$P7,
               $U7/12,
               1
      ))),0)
))))</f>
        <v>-</v>
      </c>
      <c r="CF7" s="56" t="str">
        <f ca="1">IF($H7=リスト!$AA$4,"-",
   IF($C7="-","-",
     IF(CF$4&gt;$P7,"-",
       IF(CF$4=1,$E7,OFFSET(CF7,0,-2)-OFFSET(CF7,0,-1)
))))</f>
        <v>-</v>
      </c>
      <c r="CG7" s="57" t="str">
        <f>IF($H7=リスト!$AA$4,"-",
 IF($C7="-","-",
  IF(CF$4&gt;$P7,"-",
   CHOOSE(MATCH($H$3,リスト!$AE$3:$AE$5,0),
    ROUNDUP(
      CF7*IF(CF7*$I7&lt;=$L7,$J7,$I7)*
      IF($P7=1,
         $S7/12,
         IF(CF$4=1,
            $T7/12,
            IF(CF$4=$P7,
               $U7/12,
               1
      ))),0),
    ROUNDDOWN(
      CF7*IF(CF7*$I7&lt;=$L7,$J7,$I7)*
      IF($P7=1,
         $S7/12,
         IF(CF$4=1,
            $T7/12,
            IF(CF$4=$P7,
               $U7/12,
               1
      ))),0),
    ROUND(
      CF7*IF(CF7*$I7&lt;=$L7,$J7,$I7)*
      IF($P7=1,
         $S7/12,
         IF(CF$4=1,
            $T7/12,
            IF(CF$4=$P7,
               $U7/12,
               1
      ))),0)
))))</f>
        <v>-</v>
      </c>
      <c r="CH7" s="56" t="str">
        <f ca="1">IF($H7=リスト!$AA$4,"-",
   IF($C7="-","-",
     IF(CH$4&gt;$P7,"-",
       IF(CH$4=1,$E7,OFFSET(CH7,0,-2)-OFFSET(CH7,0,-1)
))))</f>
        <v>-</v>
      </c>
      <c r="CI7" s="57" t="str">
        <f>IF($H7=リスト!$AA$4,"-",
 IF($C7="-","-",
  IF(CH$4&gt;$P7,"-",
   CHOOSE(MATCH($H$3,リスト!$AE$3:$AE$5,0),
    ROUNDUP(
      CH7*IF(CH7*$I7&lt;=$L7,$J7,$I7)*
      IF($P7=1,
         $S7/12,
         IF(CH$4=1,
            $T7/12,
            IF(CH$4=$P7,
               $U7/12,
               1
      ))),0),
    ROUNDDOWN(
      CH7*IF(CH7*$I7&lt;=$L7,$J7,$I7)*
      IF($P7=1,
         $S7/12,
         IF(CH$4=1,
            $T7/12,
            IF(CH$4=$P7,
               $U7/12,
               1
      ))),0),
    ROUND(
      CH7*IF(CH7*$I7&lt;=$L7,$J7,$I7)*
      IF($P7=1,
         $S7/12,
         IF(CH$4=1,
            $T7/12,
            IF(CH$4=$P7,
               $U7/12,
               1
      ))),0)
))))</f>
        <v>-</v>
      </c>
      <c r="CJ7" s="56" t="str">
        <f ca="1">IF($H7=リスト!$AA$4,"-",
   IF($C7="-","-",
     IF(CJ$4&gt;$P7,"-",
       IF(CJ$4=1,$E7,OFFSET(CJ7,0,-2)-OFFSET(CJ7,0,-1)
))))</f>
        <v>-</v>
      </c>
      <c r="CK7" s="57" t="str">
        <f>IF($H7=リスト!$AA$4,"-",
 IF($C7="-","-",
  IF(CJ$4&gt;$P7,"-",
   CHOOSE(MATCH($H$3,リスト!$AE$3:$AE$5,0),
    ROUNDUP(
      CJ7*IF(CJ7*$I7&lt;=$L7,$J7,$I7)*
      IF($P7=1,
         $S7/12,
         IF(CJ$4=1,
            $T7/12,
            IF(CJ$4=$P7,
               $U7/12,
               1
      ))),0),
    ROUNDDOWN(
      CJ7*IF(CJ7*$I7&lt;=$L7,$J7,$I7)*
      IF($P7=1,
         $S7/12,
         IF(CJ$4=1,
            $T7/12,
            IF(CJ$4=$P7,
               $U7/12,
               1
      ))),0),
    ROUND(
      CJ7*IF(CJ7*$I7&lt;=$L7,$J7,$I7)*
      IF($P7=1,
         $S7/12,
         IF(CJ$4=1,
            $T7/12,
            IF(CJ$4=$P7,
               $U7/12,
               1
      ))),0)
))))</f>
        <v>-</v>
      </c>
      <c r="CL7" s="56" t="str">
        <f ca="1">IF($H7=リスト!$AA$4,"-",
   IF($C7="-","-",
     IF(CL$4&gt;$P7,"-",
       IF(CL$4=1,$E7,OFFSET(CL7,0,-2)-OFFSET(CL7,0,-1)
))))</f>
        <v>-</v>
      </c>
      <c r="CM7" s="57" t="str">
        <f>IF($H7=リスト!$AA$4,"-",
 IF($C7="-","-",
  IF(CL$4&gt;$P7,"-",
   CHOOSE(MATCH($H$3,リスト!$AE$3:$AE$5,0),
    ROUNDUP(
      CL7*IF(CL7*$I7&lt;=$L7,$J7,$I7)*
      IF($P7=1,
         $S7/12,
         IF(CL$4=1,
            $T7/12,
            IF(CL$4=$P7,
               $U7/12,
               1
      ))),0),
    ROUNDDOWN(
      CL7*IF(CL7*$I7&lt;=$L7,$J7,$I7)*
      IF($P7=1,
         $S7/12,
         IF(CL$4=1,
            $T7/12,
            IF(CL$4=$P7,
               $U7/12,
               1
      ))),0),
    ROUND(
      CL7*IF(CL7*$I7&lt;=$L7,$J7,$I7)*
      IF($P7=1,
         $S7/12,
         IF(CL$4=1,
            $T7/12,
            IF(CL$4=$P7,
               $U7/12,
               1
      ))),0)
))))</f>
        <v>-</v>
      </c>
      <c r="CN7" s="56" t="str">
        <f ca="1">IF($H7=リスト!$AA$4,"-",
   IF($C7="-","-",
     IF(CN$4&gt;$P7,"-",
       IF(CN$4=1,$E7,OFFSET(CN7,0,-2)-OFFSET(CN7,0,-1)
))))</f>
        <v>-</v>
      </c>
      <c r="CO7" s="57" t="str">
        <f>IF($H7=リスト!$AA$4,"-",
 IF($C7="-","-",
  IF(CN$4&gt;$P7,"-",
   CHOOSE(MATCH($H$3,リスト!$AE$3:$AE$5,0),
    ROUNDUP(
      CN7*IF(CN7*$I7&lt;=$L7,$J7,$I7)*
      IF($P7=1,
         $S7/12,
         IF(CN$4=1,
            $T7/12,
            IF(CN$4=$P7,
               $U7/12,
               1
      ))),0),
    ROUNDDOWN(
      CN7*IF(CN7*$I7&lt;=$L7,$J7,$I7)*
      IF($P7=1,
         $S7/12,
         IF(CN$4=1,
            $T7/12,
            IF(CN$4=$P7,
               $U7/12,
               1
      ))),0),
    ROUND(
      CN7*IF(CN7*$I7&lt;=$L7,$J7,$I7)*
      IF($P7=1,
         $S7/12,
         IF(CN$4=1,
            $T7/12,
            IF(CN$4=$P7,
               $U7/12,
               1
      ))),0)
))))</f>
        <v>-</v>
      </c>
      <c r="CP7" s="56" t="str">
        <f ca="1">IF($H7=リスト!$AA$4,"-",
   IF($C7="-","-",
     IF(CP$4&gt;$P7,"-",
       IF(CP$4=1,$E7,OFFSET(CP7,0,-2)-OFFSET(CP7,0,-1)
))))</f>
        <v>-</v>
      </c>
      <c r="CQ7" s="57" t="str">
        <f>IF($H7=リスト!$AA$4,"-",
 IF($C7="-","-",
  IF(CP$4&gt;$P7,"-",
   CHOOSE(MATCH($H$3,リスト!$AE$3:$AE$5,0),
    ROUNDUP(
      CP7*IF(CP7*$I7&lt;=$L7,$J7,$I7)*
      IF($P7=1,
         $S7/12,
         IF(CP$4=1,
            $T7/12,
            IF(CP$4=$P7,
               $U7/12,
               1
      ))),0),
    ROUNDDOWN(
      CP7*IF(CP7*$I7&lt;=$L7,$J7,$I7)*
      IF($P7=1,
         $S7/12,
         IF(CP$4=1,
            $T7/12,
            IF(CP$4=$P7,
               $U7/12,
               1
      ))),0),
    ROUND(
      CP7*IF(CP7*$I7&lt;=$L7,$J7,$I7)*
      IF($P7=1,
         $S7/12,
         IF(CP$4=1,
            $T7/12,
            IF(CP$4=$P7,
               $U7/12,
               1
      ))),0)
))))</f>
        <v>-</v>
      </c>
      <c r="CR7" s="56" t="str">
        <f ca="1">IF($H7=リスト!$AA$4,"-",
   IF($C7="-","-",
     IF(CR$4&gt;$P7,"-",
       IF(CR$4=1,$E7,OFFSET(CR7,0,-2)-OFFSET(CR7,0,-1)
))))</f>
        <v>-</v>
      </c>
      <c r="CS7" s="57" t="str">
        <f>IF($H7=リスト!$AA$4,"-",
 IF($C7="-","-",
  IF(CR$4&gt;$P7,"-",
   CHOOSE(MATCH($H$3,リスト!$AE$3:$AE$5,0),
    ROUNDUP(
      CR7*IF(CR7*$I7&lt;=$L7,$J7,$I7)*
      IF($P7=1,
         $S7/12,
         IF(CR$4=1,
            $T7/12,
            IF(CR$4=$P7,
               $U7/12,
               1
      ))),0),
    ROUNDDOWN(
      CR7*IF(CR7*$I7&lt;=$L7,$J7,$I7)*
      IF($P7=1,
         $S7/12,
         IF(CR$4=1,
            $T7/12,
            IF(CR$4=$P7,
               $U7/12,
               1
      ))),0),
    ROUND(
      CR7*IF(CR7*$I7&lt;=$L7,$J7,$I7)*
      IF($P7=1,
         $S7/12,
         IF(CR$4=1,
            $T7/12,
            IF(CR$4=$P7,
               $U7/12,
               1
      ))),0)
))))</f>
        <v>-</v>
      </c>
      <c r="CT7" s="56" t="str">
        <f ca="1">IF($H7=リスト!$AA$4,"-",
   IF($C7="-","-",
     IF(CT$4&gt;$P7,"-",
       IF(CT$4=1,$E7,OFFSET(CT7,0,-2)-OFFSET(CT7,0,-1)
))))</f>
        <v>-</v>
      </c>
      <c r="CU7" s="57" t="str">
        <f>IF($H7=リスト!$AA$4,"-",
 IF($C7="-","-",
  IF(CT$4&gt;$P7,"-",
   CHOOSE(MATCH($H$3,リスト!$AE$3:$AE$5,0),
    ROUNDUP(
      CT7*IF(CT7*$I7&lt;=$L7,$J7,$I7)*
      IF($P7=1,
         $S7/12,
         IF(CT$4=1,
            $T7/12,
            IF(CT$4=$P7,
               $U7/12,
               1
      ))),0),
    ROUNDDOWN(
      CT7*IF(CT7*$I7&lt;=$L7,$J7,$I7)*
      IF($P7=1,
         $S7/12,
         IF(CT$4=1,
            $T7/12,
            IF(CT$4=$P7,
               $U7/12,
               1
      ))),0),
    ROUND(
      CT7*IF(CT7*$I7&lt;=$L7,$J7,$I7)*
      IF($P7=1,
         $S7/12,
         IF(CT$4=1,
            $T7/12,
            IF(CT$4=$P7,
               $U7/12,
               1
      ))),0)
))))</f>
        <v>-</v>
      </c>
      <c r="CV7" s="56" t="str">
        <f ca="1">IF($H7=リスト!$AA$4,"-",
   IF($C7="-","-",
     IF(CV$4&gt;$P7,"-",
       IF(CV$4=1,$E7,OFFSET(CV7,0,-2)-OFFSET(CV7,0,-1)
))))</f>
        <v>-</v>
      </c>
      <c r="CW7" s="57" t="str">
        <f>IF($H7=リスト!$AA$4,"-",
 IF($C7="-","-",
  IF(CV$4&gt;$P7,"-",
   CHOOSE(MATCH($H$3,リスト!$AE$3:$AE$5,0),
    ROUNDUP(
      CV7*IF(CV7*$I7&lt;=$L7,$J7,$I7)*
      IF($P7=1,
         $S7/12,
         IF(CV$4=1,
            $T7/12,
            IF(CV$4=$P7,
               $U7/12,
               1
      ))),0),
    ROUNDDOWN(
      CV7*IF(CV7*$I7&lt;=$L7,$J7,$I7)*
      IF($P7=1,
         $S7/12,
         IF(CV$4=1,
            $T7/12,
            IF(CV$4=$P7,
               $U7/12,
               1
      ))),0),
    ROUND(
      CV7*IF(CV7*$I7&lt;=$L7,$J7,$I7)*
      IF($P7=1,
         $S7/12,
         IF(CV$4=1,
            $T7/12,
            IF(CV$4=$P7,
               $U7/12,
               1
      ))),0)
))))</f>
        <v>-</v>
      </c>
      <c r="CX7" s="56" t="str">
        <f ca="1">IF($H7=リスト!$AA$4,"-",
   IF($C7="-","-",
     IF(CX$4&gt;$P7,"-",
       IF(CX$4=1,$E7,OFFSET(CX7,0,-2)-OFFSET(CX7,0,-1)
))))</f>
        <v>-</v>
      </c>
      <c r="CY7" s="57" t="str">
        <f>IF($H7=リスト!$AA$4,"-",
 IF($C7="-","-",
  IF(CX$4&gt;$P7,"-",
   CHOOSE(MATCH($H$3,リスト!$AE$3:$AE$5,0),
    ROUNDUP(
      CX7*IF(CX7*$I7&lt;=$L7,$J7,$I7)*
      IF($P7=1,
         $S7/12,
         IF(CX$4=1,
            $T7/12,
            IF(CX$4=$P7,
               $U7/12,
               1
      ))),0),
    ROUNDDOWN(
      CX7*IF(CX7*$I7&lt;=$L7,$J7,$I7)*
      IF($P7=1,
         $S7/12,
         IF(CX$4=1,
            $T7/12,
            IF(CX$4=$P7,
               $U7/12,
               1
      ))),0),
    ROUND(
      CX7*IF(CX7*$I7&lt;=$L7,$J7,$I7)*
      IF($P7=1,
         $S7/12,
         IF(CX$4=1,
            $T7/12,
            IF(CX$4=$P7,
               $U7/12,
               1
      ))),0)
))))</f>
        <v>-</v>
      </c>
      <c r="CZ7" s="56" t="str">
        <f ca="1">IF($H7=リスト!$AA$4,"-",
   IF($C7="-","-",
     IF(CZ$4&gt;$P7,"-",
       IF(CZ$4=1,$E7,OFFSET(CZ7,0,-2)-OFFSET(CZ7,0,-1)
))))</f>
        <v>-</v>
      </c>
      <c r="DA7" s="57" t="str">
        <f>IF($H7=リスト!$AA$4,"-",
 IF($C7="-","-",
  IF(CZ$4&gt;$P7,"-",
   CHOOSE(MATCH($H$3,リスト!$AE$3:$AE$5,0),
    ROUNDUP(
      CZ7*IF(CZ7*$I7&lt;=$L7,$J7,$I7)*
      IF($P7=1,
         $S7/12,
         IF(CZ$4=1,
            $T7/12,
            IF(CZ$4=$P7,
               $U7/12,
               1
      ))),0),
    ROUNDDOWN(
      CZ7*IF(CZ7*$I7&lt;=$L7,$J7,$I7)*
      IF($P7=1,
         $S7/12,
         IF(CZ$4=1,
            $T7/12,
            IF(CZ$4=$P7,
               $U7/12,
               1
      ))),0),
    ROUND(
      CZ7*IF(CZ7*$I7&lt;=$L7,$J7,$I7)*
      IF($P7=1,
         $S7/12,
         IF(CZ$4=1,
            $T7/12,
            IF(CZ$4=$P7,
               $U7/12,
               1
      ))),0)
))))</f>
        <v>-</v>
      </c>
      <c r="DB7" s="56" t="str">
        <f ca="1">IF($H7=リスト!$AA$4,"-",
   IF($C7="-","-",
     IF(DB$4&gt;$P7,"-",
       IF(DB$4=1,$E7,OFFSET(DB7,0,-2)-OFFSET(DB7,0,-1)
))))</f>
        <v>-</v>
      </c>
      <c r="DC7" s="57" t="str">
        <f>IF($H7=リスト!$AA$4,"-",
 IF($C7="-","-",
  IF(DB$4&gt;$P7,"-",
   CHOOSE(MATCH($H$3,リスト!$AE$3:$AE$5,0),
    ROUNDUP(
      DB7*IF(DB7*$I7&lt;=$L7,$J7,$I7)*
      IF($P7=1,
         $S7/12,
         IF(DB$4=1,
            $T7/12,
            IF(DB$4=$P7,
               $U7/12,
               1
      ))),0),
    ROUNDDOWN(
      DB7*IF(DB7*$I7&lt;=$L7,$J7,$I7)*
      IF($P7=1,
         $S7/12,
         IF(DB$4=1,
            $T7/12,
            IF(DB$4=$P7,
               $U7/12,
               1
      ))),0),
    ROUND(
      DB7*IF(DB7*$I7&lt;=$L7,$J7,$I7)*
      IF($P7=1,
         $S7/12,
         IF(DB$4=1,
            $T7/12,
            IF(DB$4=$P7,
               $U7/12,
               1
      ))),0)
))))</f>
        <v>-</v>
      </c>
      <c r="DD7" s="56" t="str">
        <f ca="1">IF($H7=リスト!$AA$4,"-",
   IF($C7="-","-",
     IF(DD$4&gt;$P7,"-",
       IF(DD$4=1,$E7,OFFSET(DD7,0,-2)-OFFSET(DD7,0,-1)
))))</f>
        <v>-</v>
      </c>
      <c r="DE7" s="57" t="str">
        <f>IF($H7=リスト!$AA$4,"-",
 IF($C7="-","-",
  IF(DD$4&gt;$P7,"-",
   CHOOSE(MATCH($H$3,リスト!$AE$3:$AE$5,0),
    ROUNDUP(
      DD7*IF(DD7*$I7&lt;=$L7,$J7,$I7)*
      IF($P7=1,
         $S7/12,
         IF(DD$4=1,
            $T7/12,
            IF(DD$4=$P7,
               $U7/12,
               1
      ))),0),
    ROUNDDOWN(
      DD7*IF(DD7*$I7&lt;=$L7,$J7,$I7)*
      IF($P7=1,
         $S7/12,
         IF(DD$4=1,
            $T7/12,
            IF(DD$4=$P7,
               $U7/12,
               1
      ))),0),
    ROUND(
      DD7*IF(DD7*$I7&lt;=$L7,$J7,$I7)*
      IF($P7=1,
         $S7/12,
         IF(DD$4=1,
            $T7/12,
            IF(DD$4=$P7,
               $U7/12,
               1
      ))),0)
))))</f>
        <v>-</v>
      </c>
      <c r="DF7" s="56" t="str">
        <f ca="1">IF($H7=リスト!$AA$4,"-",
   IF($C7="-","-",
     IF(DF$4&gt;$P7,"-",
       IF(DF$4=1,$E7,OFFSET(DF7,0,-2)-OFFSET(DF7,0,-1)
))))</f>
        <v>-</v>
      </c>
      <c r="DG7" s="57" t="str">
        <f>IF($H7=リスト!$AA$4,"-",
 IF($C7="-","-",
  IF(DF$4&gt;$P7,"-",
   CHOOSE(MATCH($H$3,リスト!$AE$3:$AE$5,0),
    ROUNDUP(
      DF7*IF(DF7*$I7&lt;=$L7,$J7,$I7)*
      IF($P7=1,
         $S7/12,
         IF(DF$4=1,
            $T7/12,
            IF(DF$4=$P7,
               $U7/12,
               1
      ))),0),
    ROUNDDOWN(
      DF7*IF(DF7*$I7&lt;=$L7,$J7,$I7)*
      IF($P7=1,
         $S7/12,
         IF(DF$4=1,
            $T7/12,
            IF(DF$4=$P7,
               $U7/12,
               1
      ))),0),
    ROUND(
      DF7*IF(DF7*$I7&lt;=$L7,$J7,$I7)*
      IF($P7=1,
         $S7/12,
         IF(DF$4=1,
            $T7/12,
            IF(DF$4=$P7,
               $U7/12,
               1
      ))),0)
))))</f>
        <v>-</v>
      </c>
      <c r="DH7" s="56" t="str">
        <f ca="1">IF($H7=リスト!$AA$4,"-",
   IF($C7="-","-",
     IF(DH$4&gt;$P7,"-",
       IF(DH$4=1,$E7,OFFSET(DH7,0,-2)-OFFSET(DH7,0,-1)
))))</f>
        <v>-</v>
      </c>
      <c r="DI7" s="57" t="str">
        <f>IF($H7=リスト!$AA$4,"-",
 IF($C7="-","-",
  IF(DH$4&gt;$P7,"-",
   CHOOSE(MATCH($H$3,リスト!$AE$3:$AE$5,0),
    ROUNDUP(
      DH7*IF(DH7*$I7&lt;=$L7,$J7,$I7)*
      IF($P7=1,
         $S7/12,
         IF(DH$4=1,
            $T7/12,
            IF(DH$4=$P7,
               $U7/12,
               1
      ))),0),
    ROUNDDOWN(
      DH7*IF(DH7*$I7&lt;=$L7,$J7,$I7)*
      IF($P7=1,
         $S7/12,
         IF(DH$4=1,
            $T7/12,
            IF(DH$4=$P7,
               $U7/12,
               1
      ))),0),
    ROUND(
      DH7*IF(DH7*$I7&lt;=$L7,$J7,$I7)*
      IF($P7=1,
         $S7/12,
         IF(DH$4=1,
            $T7/12,
            IF(DH$4=$P7,
               $U7/12,
               1
      ))),0)
))))</f>
        <v>-</v>
      </c>
      <c r="DJ7" s="56" t="str">
        <f ca="1">IF($H7=リスト!$AA$4,"-",
   IF($C7="-","-",
     IF(DJ$4&gt;$P7,"-",
       IF(DJ$4=1,$E7,OFFSET(DJ7,0,-2)-OFFSET(DJ7,0,-1)
))))</f>
        <v>-</v>
      </c>
      <c r="DK7" s="57" t="str">
        <f>IF($H7=リスト!$AA$4,"-",
 IF($C7="-","-",
  IF(DJ$4&gt;$P7,"-",
   CHOOSE(MATCH($H$3,リスト!$AE$3:$AE$5,0),
    ROUNDUP(
      DJ7*IF(DJ7*$I7&lt;=$L7,$J7,$I7)*
      IF($P7=1,
         $S7/12,
         IF(DJ$4=1,
            $T7/12,
            IF(DJ$4=$P7,
               $U7/12,
               1
      ))),0),
    ROUNDDOWN(
      DJ7*IF(DJ7*$I7&lt;=$L7,$J7,$I7)*
      IF($P7=1,
         $S7/12,
         IF(DJ$4=1,
            $T7/12,
            IF(DJ$4=$P7,
               $U7/12,
               1
      ))),0),
    ROUND(
      DJ7*IF(DJ7*$I7&lt;=$L7,$J7,$I7)*
      IF($P7=1,
         $S7/12,
         IF(DJ$4=1,
            $T7/12,
            IF(DJ$4=$P7,
               $U7/12,
               1
      ))),0)
))))</f>
        <v>-</v>
      </c>
      <c r="DL7" s="56" t="str">
        <f ca="1">IF($H7=リスト!$AA$4,"-",
   IF($C7="-","-",
     IF(DL$4&gt;$P7,"-",
       IF(DL$4=1,$E7,OFFSET(DL7,0,-2)-OFFSET(DL7,0,-1)
))))</f>
        <v>-</v>
      </c>
      <c r="DM7" s="57" t="str">
        <f>IF($H7=リスト!$AA$4,"-",
 IF($C7="-","-",
  IF(DL$4&gt;$P7,"-",
   CHOOSE(MATCH($H$3,リスト!$AE$3:$AE$5,0),
    ROUNDUP(
      DL7*IF(DL7*$I7&lt;=$L7,$J7,$I7)*
      IF($P7=1,
         $S7/12,
         IF(DL$4=1,
            $T7/12,
            IF(DL$4=$P7,
               $U7/12,
               1
      ))),0),
    ROUNDDOWN(
      DL7*IF(DL7*$I7&lt;=$L7,$J7,$I7)*
      IF($P7=1,
         $S7/12,
         IF(DL$4=1,
            $T7/12,
            IF(DL$4=$P7,
               $U7/12,
               1
      ))),0),
    ROUND(
      DL7*IF(DL7*$I7&lt;=$L7,$J7,$I7)*
      IF($P7=1,
         $S7/12,
         IF(DL$4=1,
            $T7/12,
            IF(DL$4=$P7,
               $U7/12,
               1
      ))),0)
))))</f>
        <v>-</v>
      </c>
      <c r="DN7" s="56" t="str">
        <f ca="1">IF($H7=リスト!$AA$4,"-",
   IF($C7="-","-",
     IF(DN$4&gt;$P7,"-",
       IF(DN$4=1,$E7,OFFSET(DN7,0,-2)-OFFSET(DN7,0,-1)
))))</f>
        <v>-</v>
      </c>
      <c r="DO7" s="57" t="str">
        <f>IF($H7=リスト!$AA$4,"-",
 IF($C7="-","-",
  IF(DN$4&gt;$P7,"-",
   CHOOSE(MATCH($H$3,リスト!$AE$3:$AE$5,0),
    ROUNDUP(
      DN7*IF(DN7*$I7&lt;=$L7,$J7,$I7)*
      IF($P7=1,
         $S7/12,
         IF(DN$4=1,
            $T7/12,
            IF(DN$4=$P7,
               $U7/12,
               1
      ))),0),
    ROUNDDOWN(
      DN7*IF(DN7*$I7&lt;=$L7,$J7,$I7)*
      IF($P7=1,
         $S7/12,
         IF(DN$4=1,
            $T7/12,
            IF(DN$4=$P7,
               $U7/12,
               1
      ))),0),
    ROUND(
      DN7*IF(DN7*$I7&lt;=$L7,$J7,$I7)*
      IF($P7=1,
         $S7/12,
         IF(DN$4=1,
            $T7/12,
            IF(DN$4=$P7,
               $U7/12,
               1
      ))),0)
))))</f>
        <v>-</v>
      </c>
      <c r="DP7" s="56" t="str">
        <f ca="1">IF($H7=リスト!$AA$4,"-",
   IF($C7="-","-",
     IF(DP$4&gt;$P7,"-",
       IF(DP$4=1,$E7,OFFSET(DP7,0,-2)-OFFSET(DP7,0,-1)
))))</f>
        <v>-</v>
      </c>
      <c r="DQ7" s="57" t="str">
        <f>IF($H7=リスト!$AA$4,"-",
 IF($C7="-","-",
  IF(DP$4&gt;$P7,"-",
   CHOOSE(MATCH($H$3,リスト!$AE$3:$AE$5,0),
    ROUNDUP(
      DP7*IF(DP7*$I7&lt;=$L7,$J7,$I7)*
      IF($P7=1,
         $S7/12,
         IF(DP$4=1,
            $T7/12,
            IF(DP$4=$P7,
               $U7/12,
               1
      ))),0),
    ROUNDDOWN(
      DP7*IF(DP7*$I7&lt;=$L7,$J7,$I7)*
      IF($P7=1,
         $S7/12,
         IF(DP$4=1,
            $T7/12,
            IF(DP$4=$P7,
               $U7/12,
               1
      ))),0),
    ROUND(
      DP7*IF(DP7*$I7&lt;=$L7,$J7,$I7)*
      IF($P7=1,
         $S7/12,
         IF(DP$4=1,
            $T7/12,
            IF(DP$4=$P7,
               $U7/12,
               1
      ))),0)
))))</f>
        <v>-</v>
      </c>
      <c r="DR7" s="56" t="str">
        <f ca="1">IF($H7=リスト!$AA$4,"-",
   IF($C7="-","-",
     IF(DR$4&gt;$P7,"-",
       IF(DR$4=1,$E7,OFFSET(DR7,0,-2)-OFFSET(DR7,0,-1)
))))</f>
        <v>-</v>
      </c>
      <c r="DS7" s="57" t="str">
        <f>IF($H7=リスト!$AA$4,"-",
 IF($C7="-","-",
  IF(DR$4&gt;$P7,"-",
   CHOOSE(MATCH($H$3,リスト!$AE$3:$AE$5,0),
    ROUNDUP(
      DR7*IF(DR7*$I7&lt;=$L7,$J7,$I7)*
      IF($P7=1,
         $S7/12,
         IF(DR$4=1,
            $T7/12,
            IF(DR$4=$P7,
               $U7/12,
               1
      ))),0),
    ROUNDDOWN(
      DR7*IF(DR7*$I7&lt;=$L7,$J7,$I7)*
      IF($P7=1,
         $S7/12,
         IF(DR$4=1,
            $T7/12,
            IF(DR$4=$P7,
               $U7/12,
               1
      ))),0),
    ROUND(
      DR7*IF(DR7*$I7&lt;=$L7,$J7,$I7)*
      IF($P7=1,
         $S7/12,
         IF(DR$4=1,
            $T7/12,
            IF(DR$4=$P7,
               $U7/12,
               1
      ))),0)
))))</f>
        <v>-</v>
      </c>
      <c r="DT7" s="56" t="str" cm="1">
        <f t="array" ref="DT7">IF($H7&lt;&gt;リスト!$AA$3,"-",$E7-SUMPRODUCT(IFERROR($Y7:$DS7*1,0), --(MOD(COLUMN($Y7:$DS7)-COLUMN($Y7),2)=0)))</f>
        <v>-</v>
      </c>
      <c r="DU7" s="56" t="str">
        <f>IF($H7&lt;&gt;リスト!$AA$4,"-",
    IF($H$3=リスト!$AE$3,$E7-ROUNDUP($E7*I7*$W7/12,0),
    IF($H$3=リスト!$AE$4,$E7-ROUNDDOWN($E7*I7*$W7/12,0),
    IF($H$3=リスト!$AE$5,$E7-ROUND($E7*I7*$W7/12,0),
    "-"))))</f>
        <v>-</v>
      </c>
    </row>
    <row r="8" spans="2:125">
      <c r="B8" s="54">
        <v>3</v>
      </c>
      <c r="C8" s="55" t="str">
        <f>IF(財産処分報告用!$C8="","-",財産処分報告用!$C8)</f>
        <v>-</v>
      </c>
      <c r="D8" s="55" t="str">
        <f>財産処分報告用!$E8</f>
        <v>-</v>
      </c>
      <c r="E8" s="56" t="str">
        <f>IF(財産処分報告用!$J8="","-",財産処分報告用!$J8)</f>
        <v>-</v>
      </c>
      <c r="F8" s="101" t="str">
        <f>IF(財産処分報告用!$K8="","-",財産処分報告用!$K8)</f>
        <v>-</v>
      </c>
      <c r="G8" s="101" t="str">
        <f>IF(財産処分報告用!$L8="","-",財産処分報告用!$L8)</f>
        <v>-</v>
      </c>
      <c r="H8" s="55" t="str">
        <f>IF(財産処分報告用!$M8="","-",財産処分報告用!$M8)</f>
        <v>-</v>
      </c>
      <c r="I8" s="55" t="str">
        <f>IF(OR($D8="-",$H8="-"),"-",INDEX(リスト!$AG$2:$AI$101,MATCH($D8,リスト!$AG$2:$AG$101,0),MATCH($H8,リスト!$AG$2:$AI$2,0)))</f>
        <v>-</v>
      </c>
      <c r="J8" s="55" t="str">
        <f>IF(OR($D8="-",$H8="-"),"-",IF($H8=リスト!$AA$4,"-",INDEX(リスト!$AG$2:$AK$101,MATCH($D8,リスト!$AG$2:$AG$101,0),4)))</f>
        <v>-</v>
      </c>
      <c r="K8" s="55" t="str">
        <f>IF(OR($D8="-",$H8="-"),"-",IF($H8=リスト!$AA$4,"-",INDEX(リスト!$AG$2:$AK$101,MATCH($D8,リスト!$AG$2:$AG$101,0),5)))</f>
        <v>-</v>
      </c>
      <c r="L8" s="56" t="str">
        <f t="shared" si="0"/>
        <v>-</v>
      </c>
      <c r="M8" s="101" t="str">
        <f t="shared" si="1"/>
        <v>-</v>
      </c>
      <c r="N8" s="101" t="str">
        <f t="shared" si="2"/>
        <v>-</v>
      </c>
      <c r="O8" s="101" t="str">
        <f t="shared" si="3"/>
        <v>-</v>
      </c>
      <c r="P8" s="102" t="str">
        <f t="shared" si="4"/>
        <v>-</v>
      </c>
      <c r="Q8" s="115" t="str">
        <f t="shared" si="5"/>
        <v>-</v>
      </c>
      <c r="R8" s="116" t="str">
        <f t="shared" si="6"/>
        <v>-</v>
      </c>
      <c r="S8" s="102" t="str">
        <f t="shared" si="7"/>
        <v>-</v>
      </c>
      <c r="T8" s="102" t="str">
        <f t="shared" si="8"/>
        <v>-</v>
      </c>
      <c r="U8" s="102" t="str">
        <f t="shared" si="9"/>
        <v>-</v>
      </c>
      <c r="V8" s="102" t="str">
        <f t="shared" si="10"/>
        <v>-</v>
      </c>
      <c r="W8" s="55" t="str">
        <f t="shared" si="11"/>
        <v>-</v>
      </c>
      <c r="X8" s="56" t="str">
        <f ca="1">IF($H8=リスト!$AA$4,"-",
   IF($C8="-","-",
     IF(X$4&gt;$P8,"-",
       IF(X$4=1,$E8,OFFSET(X8,0,-2)-OFFSET(X8,0,-1)
))))</f>
        <v>-</v>
      </c>
      <c r="Y8" s="57" t="str">
        <f>IF($H8=リスト!$AA$4,"-",
 IF($C8="-","-",
  IF(X$4&gt;$P8,"-",
   CHOOSE(MATCH($H$3,リスト!$AE$3:$AE$5,0),
    ROUNDUP(
      X8*IF(X8*$I8&lt;=$L8,$J8,$I8)*
      IF($P8=1,
         $S8/12,
         IF(X$4=1,
            $T8/12,
            IF(X$4=$P8,
               $U8/12,
               1
      ))),0),
    ROUNDDOWN(
      X8*IF(X8*$I8&lt;=$L8,$J8,$I8)*
      IF($P8=1,
         $S8/12,
         IF(X$4=1,
            $T8/12,
            IF(X$4=$P8,
               $U8/12,
               1
      ))),0),
    ROUND(
      X8*IF(X8*$I8&lt;=$L8,$J8,$I8)*
      IF($P8=1,
         $S8/12,
         IF(X$4=1,
            $T8/12,
            IF(X$4=$P8,
               $U8/12,
               1
      ))),0)
))))</f>
        <v>-</v>
      </c>
      <c r="Z8" s="56" t="str">
        <f ca="1">IF($H8=リスト!$AA$4,"-",
   IF($C8="-","-",
     IF(Z$4&gt;$P8,"-",
       IF(Z$4=1,$E8,OFFSET(Z8,0,-2)-OFFSET(Z8,0,-1)
))))</f>
        <v>-</v>
      </c>
      <c r="AA8" s="57" t="str">
        <f>IF($H8=リスト!$AA$4,"-",
 IF($C8="-","-",
  IF(Z$4&gt;$P8,"-",
   CHOOSE(MATCH($H$3,リスト!$AE$3:$AE$5,0),
    ROUNDUP(
      Z8*IF(Z8*$I8&lt;=$L8,$J8,$I8)*
      IF($P8=1,
         $S8/12,
         IF(Z$4=1,
            $T8/12,
            IF(Z$4=$P8,
               $U8/12,
               1
      ))),0),
    ROUNDDOWN(
      Z8*IF(Z8*$I8&lt;=$L8,$J8,$I8)*
      IF($P8=1,
         $S8/12,
         IF(Z$4=1,
            $T8/12,
            IF(Z$4=$P8,
               $U8/12,
               1
      ))),0),
    ROUND(
      Z8*IF(Z8*$I8&lt;=$L8,$J8,$I8)*
      IF($P8=1,
         $S8/12,
         IF(Z$4=1,
            $T8/12,
            IF(Z$4=$P8,
               $U8/12,
               1
      ))),0)
))))</f>
        <v>-</v>
      </c>
      <c r="AB8" s="56" t="str">
        <f ca="1">IF($H8=リスト!$AA$4,"-",
   IF($C8="-","-",
     IF(AB$4&gt;$P8,"-",
       IF(AB$4=1,$E8,OFFSET(AB8,0,-2)-OFFSET(AB8,0,-1)
))))</f>
        <v>-</v>
      </c>
      <c r="AC8" s="57" t="str">
        <f>IF($H8=リスト!$AA$4,"-",
 IF($C8="-","-",
  IF(AB$4&gt;$P8,"-",
   CHOOSE(MATCH($H$3,リスト!$AE$3:$AE$5,0),
    ROUNDUP(
      AB8*IF(AB8*$I8&lt;=$L8,$J8,$I8)*
      IF($P8=1,
         $S8/12,
         IF(AB$4=1,
            $T8/12,
            IF(AB$4=$P8,
               $U8/12,
               1
      ))),0),
    ROUNDDOWN(
      AB8*IF(AB8*$I8&lt;=$L8,$J8,$I8)*
      IF($P8=1,
         $S8/12,
         IF(AB$4=1,
            $T8/12,
            IF(AB$4=$P8,
               $U8/12,
               1
      ))),0),
    ROUND(
      AB8*IF(AB8*$I8&lt;=$L8,$J8,$I8)*
      IF($P8=1,
         $S8/12,
         IF(AB$4=1,
            $T8/12,
            IF(AB$4=$P8,
               $U8/12,
               1
      ))),0)
))))</f>
        <v>-</v>
      </c>
      <c r="AD8" s="56" t="str">
        <f ca="1">IF($H8=リスト!$AA$4,"-",
   IF($C8="-","-",
     IF(AD$4&gt;$P8,"-",
       IF(AD$4=1,$E8,OFFSET(AD8,0,-2)-OFFSET(AD8,0,-1)
))))</f>
        <v>-</v>
      </c>
      <c r="AE8" s="57" t="str">
        <f>IF($H8=リスト!$AA$4,"-",
 IF($C8="-","-",
  IF(AD$4&gt;$P8,"-",
   CHOOSE(MATCH($H$3,リスト!$AE$3:$AE$5,0),
    ROUNDUP(
      AD8*IF(AD8*$I8&lt;=$L8,$J8,$I8)*
      IF($P8=1,
         $S8/12,
         IF(AD$4=1,
            $T8/12,
            IF(AD$4=$P8,
               $U8/12,
               1
      ))),0),
    ROUNDDOWN(
      AD8*IF(AD8*$I8&lt;=$L8,$J8,$I8)*
      IF($P8=1,
         $S8/12,
         IF(AD$4=1,
            $T8/12,
            IF(AD$4=$P8,
               $U8/12,
               1
      ))),0),
    ROUND(
      AD8*IF(AD8*$I8&lt;=$L8,$J8,$I8)*
      IF($P8=1,
         $S8/12,
         IF(AD$4=1,
            $T8/12,
            IF(AD$4=$P8,
               $U8/12,
               1
      ))),0)
))))</f>
        <v>-</v>
      </c>
      <c r="AF8" s="56" t="str">
        <f ca="1">IF($H8=リスト!$AA$4,"-",
   IF($C8="-","-",
     IF(AF$4&gt;$P8,"-",
       IF(AF$4=1,$E8,OFFSET(AF8,0,-2)-OFFSET(AF8,0,-1)
))))</f>
        <v>-</v>
      </c>
      <c r="AG8" s="57" t="str">
        <f>IF($H8=リスト!$AA$4,"-",
 IF($C8="-","-",
  IF(AF$4&gt;$P8,"-",
   CHOOSE(MATCH($H$3,リスト!$AE$3:$AE$5,0),
    ROUNDUP(
      AF8*IF(AF8*$I8&lt;=$L8,$J8,$I8)*
      IF($P8=1,
         $S8/12,
         IF(AF$4=1,
            $T8/12,
            IF(AF$4=$P8,
               $U8/12,
               1
      ))),0),
    ROUNDDOWN(
      AF8*IF(AF8*$I8&lt;=$L8,$J8,$I8)*
      IF($P8=1,
         $S8/12,
         IF(AF$4=1,
            $T8/12,
            IF(AF$4=$P8,
               $U8/12,
               1
      ))),0),
    ROUND(
      AF8*IF(AF8*$I8&lt;=$L8,$J8,$I8)*
      IF($P8=1,
         $S8/12,
         IF(AF$4=1,
            $T8/12,
            IF(AF$4=$P8,
               $U8/12,
               1
      ))),0)
))))</f>
        <v>-</v>
      </c>
      <c r="AH8" s="56" t="str">
        <f ca="1">IF($H8=リスト!$AA$4,"-",
   IF($C8="-","-",
     IF(AH$4&gt;$P8,"-",
       IF(AH$4=1,$E8,OFFSET(AH8,0,-2)-OFFSET(AH8,0,-1)
))))</f>
        <v>-</v>
      </c>
      <c r="AI8" s="57" t="str">
        <f>IF($H8=リスト!$AA$4,"-",
 IF($C8="-","-",
  IF(AH$4&gt;$P8,"-",
   CHOOSE(MATCH($H$3,リスト!$AE$3:$AE$5,0),
    ROUNDUP(
      AH8*IF(AH8*$I8&lt;=$L8,$J8,$I8)*
      IF($P8=1,
         $S8/12,
         IF(AH$4=1,
            $T8/12,
            IF(AH$4=$P8,
               $U8/12,
               1
      ))),0),
    ROUNDDOWN(
      AH8*IF(AH8*$I8&lt;=$L8,$J8,$I8)*
      IF($P8=1,
         $S8/12,
         IF(AH$4=1,
            $T8/12,
            IF(AH$4=$P8,
               $U8/12,
               1
      ))),0),
    ROUND(
      AH8*IF(AH8*$I8&lt;=$L8,$J8,$I8)*
      IF($P8=1,
         $S8/12,
         IF(AH$4=1,
            $T8/12,
            IF(AH$4=$P8,
               $U8/12,
               1
      ))),0)
))))</f>
        <v>-</v>
      </c>
      <c r="AJ8" s="56" t="str">
        <f ca="1">IF($H8=リスト!$AA$4,"-",
   IF($C8="-","-",
     IF(AJ$4&gt;$P8,"-",
       IF(AJ$4=1,$E8,OFFSET(AJ8,0,-2)-OFFSET(AJ8,0,-1)
))))</f>
        <v>-</v>
      </c>
      <c r="AK8" s="57" t="str">
        <f>IF($H8=リスト!$AA$4,"-",
 IF($C8="-","-",
  IF(AJ$4&gt;$P8,"-",
   CHOOSE(MATCH($H$3,リスト!$AE$3:$AE$5,0),
    ROUNDUP(
      AJ8*IF(AJ8*$I8&lt;=$L8,$J8,$I8)*
      IF($P8=1,
         $S8/12,
         IF(AJ$4=1,
            $T8/12,
            IF(AJ$4=$P8,
               $U8/12,
               1
      ))),0),
    ROUNDDOWN(
      AJ8*IF(AJ8*$I8&lt;=$L8,$J8,$I8)*
      IF($P8=1,
         $S8/12,
         IF(AJ$4=1,
            $T8/12,
            IF(AJ$4=$P8,
               $U8/12,
               1
      ))),0),
    ROUND(
      AJ8*IF(AJ8*$I8&lt;=$L8,$J8,$I8)*
      IF($P8=1,
         $S8/12,
         IF(AJ$4=1,
            $T8/12,
            IF(AJ$4=$P8,
               $U8/12,
               1
      ))),0)
))))</f>
        <v>-</v>
      </c>
      <c r="AL8" s="56" t="str">
        <f ca="1">IF($H8=リスト!$AA$4,"-",
   IF($C8="-","-",
     IF(AL$4&gt;$P8,"-",
       IF(AL$4=1,$E8,OFFSET(AL8,0,-2)-OFFSET(AL8,0,-1)
))))</f>
        <v>-</v>
      </c>
      <c r="AM8" s="57" t="str">
        <f>IF($H8=リスト!$AA$4,"-",
 IF($C8="-","-",
  IF(AL$4&gt;$P8,"-",
   CHOOSE(MATCH($H$3,リスト!$AE$3:$AE$5,0),
    ROUNDUP(
      AL8*IF(AL8*$I8&lt;=$L8,$J8,$I8)*
      IF($P8=1,
         $S8/12,
         IF(AL$4=1,
            $T8/12,
            IF(AL$4=$P8,
               $U8/12,
               1
      ))),0),
    ROUNDDOWN(
      AL8*IF(AL8*$I8&lt;=$L8,$J8,$I8)*
      IF($P8=1,
         $S8/12,
         IF(AL$4=1,
            $T8/12,
            IF(AL$4=$P8,
               $U8/12,
               1
      ))),0),
    ROUND(
      AL8*IF(AL8*$I8&lt;=$L8,$J8,$I8)*
      IF($P8=1,
         $S8/12,
         IF(AL$4=1,
            $T8/12,
            IF(AL$4=$P8,
               $U8/12,
               1
      ))),0)
))))</f>
        <v>-</v>
      </c>
      <c r="AN8" s="56" t="str">
        <f ca="1">IF($H8=リスト!$AA$4,"-",
   IF($C8="-","-",
     IF(AN$4&gt;$P8,"-",
       IF(AN$4=1,$E8,OFFSET(AN8,0,-2)-OFFSET(AN8,0,-1)
))))</f>
        <v>-</v>
      </c>
      <c r="AO8" s="57" t="str">
        <f>IF($H8=リスト!$AA$4,"-",
 IF($C8="-","-",
  IF(AN$4&gt;$P8,"-",
   CHOOSE(MATCH($H$3,リスト!$AE$3:$AE$5,0),
    ROUNDUP(
      AN8*IF(AN8*$I8&lt;=$L8,$J8,$I8)*
      IF($P8=1,
         $S8/12,
         IF(AN$4=1,
            $T8/12,
            IF(AN$4=$P8,
               $U8/12,
               1
      ))),0),
    ROUNDDOWN(
      AN8*IF(AN8*$I8&lt;=$L8,$J8,$I8)*
      IF($P8=1,
         $S8/12,
         IF(AN$4=1,
            $T8/12,
            IF(AN$4=$P8,
               $U8/12,
               1
      ))),0),
    ROUND(
      AN8*IF(AN8*$I8&lt;=$L8,$J8,$I8)*
      IF($P8=1,
         $S8/12,
         IF(AN$4=1,
            $T8/12,
            IF(AN$4=$P8,
               $U8/12,
               1
      ))),0)
))))</f>
        <v>-</v>
      </c>
      <c r="AP8" s="56" t="str">
        <f ca="1">IF($H8=リスト!$AA$4,"-",
   IF($C8="-","-",
     IF(AP$4&gt;$P8,"-",
       IF(AP$4=1,$E8,OFFSET(AP8,0,-2)-OFFSET(AP8,0,-1)
))))</f>
        <v>-</v>
      </c>
      <c r="AQ8" s="57" t="str">
        <f>IF($H8=リスト!$AA$4,"-",
 IF($C8="-","-",
  IF(AP$4&gt;$P8,"-",
   CHOOSE(MATCH($H$3,リスト!$AE$3:$AE$5,0),
    ROUNDUP(
      AP8*IF(AP8*$I8&lt;=$L8,$J8,$I8)*
      IF($P8=1,
         $S8/12,
         IF(AP$4=1,
            $T8/12,
            IF(AP$4=$P8,
               $U8/12,
               1
      ))),0),
    ROUNDDOWN(
      AP8*IF(AP8*$I8&lt;=$L8,$J8,$I8)*
      IF($P8=1,
         $S8/12,
         IF(AP$4=1,
            $T8/12,
            IF(AP$4=$P8,
               $U8/12,
               1
      ))),0),
    ROUND(
      AP8*IF(AP8*$I8&lt;=$L8,$J8,$I8)*
      IF($P8=1,
         $S8/12,
         IF(AP$4=1,
            $T8/12,
            IF(AP$4=$P8,
               $U8/12,
               1
      ))),0)
))))</f>
        <v>-</v>
      </c>
      <c r="AR8" s="56" t="str">
        <f ca="1">IF($H8=リスト!$AA$4,"-",
   IF($C8="-","-",
     IF(AR$4&gt;$P8,"-",
       IF(AR$4=1,$E8,OFFSET(AR8,0,-2)-OFFSET(AR8,0,-1)
))))</f>
        <v>-</v>
      </c>
      <c r="AS8" s="57" t="str">
        <f>IF($H8=リスト!$AA$4,"-",
 IF($C8="-","-",
  IF(AR$4&gt;$P8,"-",
   CHOOSE(MATCH($H$3,リスト!$AE$3:$AE$5,0),
    ROUNDUP(
      AR8*IF(AR8*$I8&lt;=$L8,$J8,$I8)*
      IF($P8=1,
         $S8/12,
         IF(AR$4=1,
            $T8/12,
            IF(AR$4=$P8,
               $U8/12,
               1
      ))),0),
    ROUNDDOWN(
      AR8*IF(AR8*$I8&lt;=$L8,$J8,$I8)*
      IF($P8=1,
         $S8/12,
         IF(AR$4=1,
            $T8/12,
            IF(AR$4=$P8,
               $U8/12,
               1
      ))),0),
    ROUND(
      AR8*IF(AR8*$I8&lt;=$L8,$J8,$I8)*
      IF($P8=1,
         $S8/12,
         IF(AR$4=1,
            $T8/12,
            IF(AR$4=$P8,
               $U8/12,
               1
      ))),0)
))))</f>
        <v>-</v>
      </c>
      <c r="AT8" s="56" t="str">
        <f ca="1">IF($H8=リスト!$AA$4,"-",
   IF($C8="-","-",
     IF(AT$4&gt;$P8,"-",
       IF(AT$4=1,$E8,OFFSET(AT8,0,-2)-OFFSET(AT8,0,-1)
))))</f>
        <v>-</v>
      </c>
      <c r="AU8" s="57" t="str">
        <f>IF($H8=リスト!$AA$4,"-",
 IF($C8="-","-",
  IF(AT$4&gt;$P8,"-",
   CHOOSE(MATCH($H$3,リスト!$AE$3:$AE$5,0),
    ROUNDUP(
      AT8*IF(AT8*$I8&lt;=$L8,$J8,$I8)*
      IF($P8=1,
         $S8/12,
         IF(AT$4=1,
            $T8/12,
            IF(AT$4=$P8,
               $U8/12,
               1
      ))),0),
    ROUNDDOWN(
      AT8*IF(AT8*$I8&lt;=$L8,$J8,$I8)*
      IF($P8=1,
         $S8/12,
         IF(AT$4=1,
            $T8/12,
            IF(AT$4=$P8,
               $U8/12,
               1
      ))),0),
    ROUND(
      AT8*IF(AT8*$I8&lt;=$L8,$J8,$I8)*
      IF($P8=1,
         $S8/12,
         IF(AT$4=1,
            $T8/12,
            IF(AT$4=$P8,
               $U8/12,
               1
      ))),0)
))))</f>
        <v>-</v>
      </c>
      <c r="AV8" s="56" t="str">
        <f ca="1">IF($H8=リスト!$AA$4,"-",
   IF($C8="-","-",
     IF(AV$4&gt;$P8,"-",
       IF(AV$4=1,$E8,OFFSET(AV8,0,-2)-OFFSET(AV8,0,-1)
))))</f>
        <v>-</v>
      </c>
      <c r="AW8" s="57" t="str">
        <f>IF($H8=リスト!$AA$4,"-",
 IF($C8="-","-",
  IF(AV$4&gt;$P8,"-",
   CHOOSE(MATCH($H$3,リスト!$AE$3:$AE$5,0),
    ROUNDUP(
      AV8*IF(AV8*$I8&lt;=$L8,$J8,$I8)*
      IF($P8=1,
         $S8/12,
         IF(AV$4=1,
            $T8/12,
            IF(AV$4=$P8,
               $U8/12,
               1
      ))),0),
    ROUNDDOWN(
      AV8*IF(AV8*$I8&lt;=$L8,$J8,$I8)*
      IF($P8=1,
         $S8/12,
         IF(AV$4=1,
            $T8/12,
            IF(AV$4=$P8,
               $U8/12,
               1
      ))),0),
    ROUND(
      AV8*IF(AV8*$I8&lt;=$L8,$J8,$I8)*
      IF($P8=1,
         $S8/12,
         IF(AV$4=1,
            $T8/12,
            IF(AV$4=$P8,
               $U8/12,
               1
      ))),0)
))))</f>
        <v>-</v>
      </c>
      <c r="AX8" s="56" t="str">
        <f ca="1">IF($H8=リスト!$AA$4,"-",
   IF($C8="-","-",
     IF(AX$4&gt;$P8,"-",
       IF(AX$4=1,$E8,OFFSET(AX8,0,-2)-OFFSET(AX8,0,-1)
))))</f>
        <v>-</v>
      </c>
      <c r="AY8" s="57" t="str">
        <f>IF($H8=リスト!$AA$4,"-",
 IF($C8="-","-",
  IF(AX$4&gt;$P8,"-",
   CHOOSE(MATCH($H$3,リスト!$AE$3:$AE$5,0),
    ROUNDUP(
      AX8*IF(AX8*$I8&lt;=$L8,$J8,$I8)*
      IF($P8=1,
         $S8/12,
         IF(AX$4=1,
            $T8/12,
            IF(AX$4=$P8,
               $U8/12,
               1
      ))),0),
    ROUNDDOWN(
      AX8*IF(AX8*$I8&lt;=$L8,$J8,$I8)*
      IF($P8=1,
         $S8/12,
         IF(AX$4=1,
            $T8/12,
            IF(AX$4=$P8,
               $U8/12,
               1
      ))),0),
    ROUND(
      AX8*IF(AX8*$I8&lt;=$L8,$J8,$I8)*
      IF($P8=1,
         $S8/12,
         IF(AX$4=1,
            $T8/12,
            IF(AX$4=$P8,
               $U8/12,
               1
      ))),0)
))))</f>
        <v>-</v>
      </c>
      <c r="AZ8" s="56" t="str">
        <f ca="1">IF($H8=リスト!$AA$4,"-",
   IF($C8="-","-",
     IF(AZ$4&gt;$P8,"-",
       IF(AZ$4=1,$E8,OFFSET(AZ8,0,-2)-OFFSET(AZ8,0,-1)
))))</f>
        <v>-</v>
      </c>
      <c r="BA8" s="57" t="str">
        <f>IF($H8=リスト!$AA$4,"-",
 IF($C8="-","-",
  IF(AZ$4&gt;$P8,"-",
   CHOOSE(MATCH($H$3,リスト!$AE$3:$AE$5,0),
    ROUNDUP(
      AZ8*IF(AZ8*$I8&lt;=$L8,$J8,$I8)*
      IF($P8=1,
         $S8/12,
         IF(AZ$4=1,
            $T8/12,
            IF(AZ$4=$P8,
               $U8/12,
               1
      ))),0),
    ROUNDDOWN(
      AZ8*IF(AZ8*$I8&lt;=$L8,$J8,$I8)*
      IF($P8=1,
         $S8/12,
         IF(AZ$4=1,
            $T8/12,
            IF(AZ$4=$P8,
               $U8/12,
               1
      ))),0),
    ROUND(
      AZ8*IF(AZ8*$I8&lt;=$L8,$J8,$I8)*
      IF($P8=1,
         $S8/12,
         IF(AZ$4=1,
            $T8/12,
            IF(AZ$4=$P8,
               $U8/12,
               1
      ))),0)
))))</f>
        <v>-</v>
      </c>
      <c r="BB8" s="56" t="str">
        <f ca="1">IF($H8=リスト!$AA$4,"-",
   IF($C8="-","-",
     IF(BB$4&gt;$P8,"-",
       IF(BB$4=1,$E8,OFFSET(BB8,0,-2)-OFFSET(BB8,0,-1)
))))</f>
        <v>-</v>
      </c>
      <c r="BC8" s="57" t="str">
        <f>IF($H8=リスト!$AA$4,"-",
 IF($C8="-","-",
  IF(BB$4&gt;$P8,"-",
   CHOOSE(MATCH($H$3,リスト!$AE$3:$AE$5,0),
    ROUNDUP(
      BB8*IF(BB8*$I8&lt;=$L8,$J8,$I8)*
      IF($P8=1,
         $S8/12,
         IF(BB$4=1,
            $T8/12,
            IF(BB$4=$P8,
               $U8/12,
               1
      ))),0),
    ROUNDDOWN(
      BB8*IF(BB8*$I8&lt;=$L8,$J8,$I8)*
      IF($P8=1,
         $S8/12,
         IF(BB$4=1,
            $T8/12,
            IF(BB$4=$P8,
               $U8/12,
               1
      ))),0),
    ROUND(
      BB8*IF(BB8*$I8&lt;=$L8,$J8,$I8)*
      IF($P8=1,
         $S8/12,
         IF(BB$4=1,
            $T8/12,
            IF(BB$4=$P8,
               $U8/12,
               1
      ))),0)
))))</f>
        <v>-</v>
      </c>
      <c r="BD8" s="56" t="str">
        <f ca="1">IF($H8=リスト!$AA$4,"-",
   IF($C8="-","-",
     IF(BD$4&gt;$P8,"-",
       IF(BD$4=1,$E8,OFFSET(BD8,0,-2)-OFFSET(BD8,0,-1)
))))</f>
        <v>-</v>
      </c>
      <c r="BE8" s="57" t="str">
        <f>IF($H8=リスト!$AA$4,"-",
 IF($C8="-","-",
  IF(BD$4&gt;$P8,"-",
   CHOOSE(MATCH($H$3,リスト!$AE$3:$AE$5,0),
    ROUNDUP(
      BD8*IF(BD8*$I8&lt;=$L8,$J8,$I8)*
      IF($P8=1,
         $S8/12,
         IF(BD$4=1,
            $T8/12,
            IF(BD$4=$P8,
               $U8/12,
               1
      ))),0),
    ROUNDDOWN(
      BD8*IF(BD8*$I8&lt;=$L8,$J8,$I8)*
      IF($P8=1,
         $S8/12,
         IF(BD$4=1,
            $T8/12,
            IF(BD$4=$P8,
               $U8/12,
               1
      ))),0),
    ROUND(
      BD8*IF(BD8*$I8&lt;=$L8,$J8,$I8)*
      IF($P8=1,
         $S8/12,
         IF(BD$4=1,
            $T8/12,
            IF(BD$4=$P8,
               $U8/12,
               1
      ))),0)
))))</f>
        <v>-</v>
      </c>
      <c r="BF8" s="56" t="str">
        <f ca="1">IF($H8=リスト!$AA$4,"-",
   IF($C8="-","-",
     IF(BF$4&gt;$P8,"-",
       IF(BF$4=1,$E8,OFFSET(BF8,0,-2)-OFFSET(BF8,0,-1)
))))</f>
        <v>-</v>
      </c>
      <c r="BG8" s="57" t="str">
        <f>IF($H8=リスト!$AA$4,"-",
 IF($C8="-","-",
  IF(BF$4&gt;$P8,"-",
   CHOOSE(MATCH($H$3,リスト!$AE$3:$AE$5,0),
    ROUNDUP(
      BF8*IF(BF8*$I8&lt;=$L8,$J8,$I8)*
      IF($P8=1,
         $S8/12,
         IF(BF$4=1,
            $T8/12,
            IF(BF$4=$P8,
               $U8/12,
               1
      ))),0),
    ROUNDDOWN(
      BF8*IF(BF8*$I8&lt;=$L8,$J8,$I8)*
      IF($P8=1,
         $S8/12,
         IF(BF$4=1,
            $T8/12,
            IF(BF$4=$P8,
               $U8/12,
               1
      ))),0),
    ROUND(
      BF8*IF(BF8*$I8&lt;=$L8,$J8,$I8)*
      IF($P8=1,
         $S8/12,
         IF(BF$4=1,
            $T8/12,
            IF(BF$4=$P8,
               $U8/12,
               1
      ))),0)
))))</f>
        <v>-</v>
      </c>
      <c r="BH8" s="56" t="str">
        <f ca="1">IF($H8=リスト!$AA$4,"-",
   IF($C8="-","-",
     IF(BH$4&gt;$P8,"-",
       IF(BH$4=1,$E8,OFFSET(BH8,0,-2)-OFFSET(BH8,0,-1)
))))</f>
        <v>-</v>
      </c>
      <c r="BI8" s="57" t="str">
        <f>IF($H8=リスト!$AA$4,"-",
 IF($C8="-","-",
  IF(BH$4&gt;$P8,"-",
   CHOOSE(MATCH($H$3,リスト!$AE$3:$AE$5,0),
    ROUNDUP(
      BH8*IF(BH8*$I8&lt;=$L8,$J8,$I8)*
      IF($P8=1,
         $S8/12,
         IF(BH$4=1,
            $T8/12,
            IF(BH$4=$P8,
               $U8/12,
               1
      ))),0),
    ROUNDDOWN(
      BH8*IF(BH8*$I8&lt;=$L8,$J8,$I8)*
      IF($P8=1,
         $S8/12,
         IF(BH$4=1,
            $T8/12,
            IF(BH$4=$P8,
               $U8/12,
               1
      ))),0),
    ROUND(
      BH8*IF(BH8*$I8&lt;=$L8,$J8,$I8)*
      IF($P8=1,
         $S8/12,
         IF(BH$4=1,
            $T8/12,
            IF(BH$4=$P8,
               $U8/12,
               1
      ))),0)
))))</f>
        <v>-</v>
      </c>
      <c r="BJ8" s="56" t="str">
        <f ca="1">IF($H8=リスト!$AA$4,"-",
   IF($C8="-","-",
     IF(BJ$4&gt;$P8,"-",
       IF(BJ$4=1,$E8,OFFSET(BJ8,0,-2)-OFFSET(BJ8,0,-1)
))))</f>
        <v>-</v>
      </c>
      <c r="BK8" s="57" t="str">
        <f>IF($H8=リスト!$AA$4,"-",
 IF($C8="-","-",
  IF(BJ$4&gt;$P8,"-",
   CHOOSE(MATCH($H$3,リスト!$AE$3:$AE$5,0),
    ROUNDUP(
      BJ8*IF(BJ8*$I8&lt;=$L8,$J8,$I8)*
      IF($P8=1,
         $S8/12,
         IF(BJ$4=1,
            $T8/12,
            IF(BJ$4=$P8,
               $U8/12,
               1
      ))),0),
    ROUNDDOWN(
      BJ8*IF(BJ8*$I8&lt;=$L8,$J8,$I8)*
      IF($P8=1,
         $S8/12,
         IF(BJ$4=1,
            $T8/12,
            IF(BJ$4=$P8,
               $U8/12,
               1
      ))),0),
    ROUND(
      BJ8*IF(BJ8*$I8&lt;=$L8,$J8,$I8)*
      IF($P8=1,
         $S8/12,
         IF(BJ$4=1,
            $T8/12,
            IF(BJ$4=$P8,
               $U8/12,
               1
      ))),0)
))))</f>
        <v>-</v>
      </c>
      <c r="BL8" s="56" t="str">
        <f ca="1">IF($H8=リスト!$AA$4,"-",
   IF($C8="-","-",
     IF(BL$4&gt;$P8,"-",
       IF(BL$4=1,$E8,OFFSET(BL8,0,-2)-OFFSET(BL8,0,-1)
))))</f>
        <v>-</v>
      </c>
      <c r="BM8" s="57" t="str">
        <f>IF($H8=リスト!$AA$4,"-",
 IF($C8="-","-",
  IF(BL$4&gt;$P8,"-",
   CHOOSE(MATCH($H$3,リスト!$AE$3:$AE$5,0),
    ROUNDUP(
      BL8*IF(BL8*$I8&lt;=$L8,$J8,$I8)*
      IF($P8=1,
         $S8/12,
         IF(BL$4=1,
            $T8/12,
            IF(BL$4=$P8,
               $U8/12,
               1
      ))),0),
    ROUNDDOWN(
      BL8*IF(BL8*$I8&lt;=$L8,$J8,$I8)*
      IF($P8=1,
         $S8/12,
         IF(BL$4=1,
            $T8/12,
            IF(BL$4=$P8,
               $U8/12,
               1
      ))),0),
    ROUND(
      BL8*IF(BL8*$I8&lt;=$L8,$J8,$I8)*
      IF($P8=1,
         $S8/12,
         IF(BL$4=1,
            $T8/12,
            IF(BL$4=$P8,
               $U8/12,
               1
      ))),0)
))))</f>
        <v>-</v>
      </c>
      <c r="BN8" s="56" t="str">
        <f ca="1">IF($H8=リスト!$AA$4,"-",
   IF($C8="-","-",
     IF(BN$4&gt;$P8,"-",
       IF(BN$4=1,$E8,OFFSET(BN8,0,-2)-OFFSET(BN8,0,-1)
))))</f>
        <v>-</v>
      </c>
      <c r="BO8" s="57" t="str">
        <f>IF($H8=リスト!$AA$4,"-",
 IF($C8="-","-",
  IF(BN$4&gt;$P8,"-",
   CHOOSE(MATCH($H$3,リスト!$AE$3:$AE$5,0),
    ROUNDUP(
      BN8*IF(BN8*$I8&lt;=$L8,$J8,$I8)*
      IF($P8=1,
         $S8/12,
         IF(BN$4=1,
            $T8/12,
            IF(BN$4=$P8,
               $U8/12,
               1
      ))),0),
    ROUNDDOWN(
      BN8*IF(BN8*$I8&lt;=$L8,$J8,$I8)*
      IF($P8=1,
         $S8/12,
         IF(BN$4=1,
            $T8/12,
            IF(BN$4=$P8,
               $U8/12,
               1
      ))),0),
    ROUND(
      BN8*IF(BN8*$I8&lt;=$L8,$J8,$I8)*
      IF($P8=1,
         $S8/12,
         IF(BN$4=1,
            $T8/12,
            IF(BN$4=$P8,
               $U8/12,
               1
      ))),0)
))))</f>
        <v>-</v>
      </c>
      <c r="BP8" s="56" t="str">
        <f ca="1">IF($H8=リスト!$AA$4,"-",
   IF($C8="-","-",
     IF(BP$4&gt;$P8,"-",
       IF(BP$4=1,$E8,OFFSET(BP8,0,-2)-OFFSET(BP8,0,-1)
))))</f>
        <v>-</v>
      </c>
      <c r="BQ8" s="57" t="str">
        <f>IF($H8=リスト!$AA$4,"-",
 IF($C8="-","-",
  IF(BP$4&gt;$P8,"-",
   CHOOSE(MATCH($H$3,リスト!$AE$3:$AE$5,0),
    ROUNDUP(
      BP8*IF(BP8*$I8&lt;=$L8,$J8,$I8)*
      IF($P8=1,
         $S8/12,
         IF(BP$4=1,
            $T8/12,
            IF(BP$4=$P8,
               $U8/12,
               1
      ))),0),
    ROUNDDOWN(
      BP8*IF(BP8*$I8&lt;=$L8,$J8,$I8)*
      IF($P8=1,
         $S8/12,
         IF(BP$4=1,
            $T8/12,
            IF(BP$4=$P8,
               $U8/12,
               1
      ))),0),
    ROUND(
      BP8*IF(BP8*$I8&lt;=$L8,$J8,$I8)*
      IF($P8=1,
         $S8/12,
         IF(BP$4=1,
            $T8/12,
            IF(BP$4=$P8,
               $U8/12,
               1
      ))),0)
))))</f>
        <v>-</v>
      </c>
      <c r="BR8" s="56" t="str">
        <f ca="1">IF($H8=リスト!$AA$4,"-",
   IF($C8="-","-",
     IF(BR$4&gt;$P8,"-",
       IF(BR$4=1,$E8,OFFSET(BR8,0,-2)-OFFSET(BR8,0,-1)
))))</f>
        <v>-</v>
      </c>
      <c r="BS8" s="57" t="str">
        <f>IF($H8=リスト!$AA$4,"-",
 IF($C8="-","-",
  IF(BR$4&gt;$P8,"-",
   CHOOSE(MATCH($H$3,リスト!$AE$3:$AE$5,0),
    ROUNDUP(
      BR8*IF(BR8*$I8&lt;=$L8,$J8,$I8)*
      IF($P8=1,
         $S8/12,
         IF(BR$4=1,
            $T8/12,
            IF(BR$4=$P8,
               $U8/12,
               1
      ))),0),
    ROUNDDOWN(
      BR8*IF(BR8*$I8&lt;=$L8,$J8,$I8)*
      IF($P8=1,
         $S8/12,
         IF(BR$4=1,
            $T8/12,
            IF(BR$4=$P8,
               $U8/12,
               1
      ))),0),
    ROUND(
      BR8*IF(BR8*$I8&lt;=$L8,$J8,$I8)*
      IF($P8=1,
         $S8/12,
         IF(BR$4=1,
            $T8/12,
            IF(BR$4=$P8,
               $U8/12,
               1
      ))),0)
))))</f>
        <v>-</v>
      </c>
      <c r="BT8" s="56" t="str">
        <f ca="1">IF($H8=リスト!$AA$4,"-",
   IF($C8="-","-",
     IF(BT$4&gt;$P8,"-",
       IF(BT$4=1,$E8,OFFSET(BT8,0,-2)-OFFSET(BT8,0,-1)
))))</f>
        <v>-</v>
      </c>
      <c r="BU8" s="57" t="str">
        <f>IF($H8=リスト!$AA$4,"-",
 IF($C8="-","-",
  IF(BT$4&gt;$P8,"-",
   CHOOSE(MATCH($H$3,リスト!$AE$3:$AE$5,0),
    ROUNDUP(
      BT8*IF(BT8*$I8&lt;=$L8,$J8,$I8)*
      IF($P8=1,
         $S8/12,
         IF(BT$4=1,
            $T8/12,
            IF(BT$4=$P8,
               $U8/12,
               1
      ))),0),
    ROUNDDOWN(
      BT8*IF(BT8*$I8&lt;=$L8,$J8,$I8)*
      IF($P8=1,
         $S8/12,
         IF(BT$4=1,
            $T8/12,
            IF(BT$4=$P8,
               $U8/12,
               1
      ))),0),
    ROUND(
      BT8*IF(BT8*$I8&lt;=$L8,$J8,$I8)*
      IF($P8=1,
         $S8/12,
         IF(BT$4=1,
            $T8/12,
            IF(BT$4=$P8,
               $U8/12,
               1
      ))),0)
))))</f>
        <v>-</v>
      </c>
      <c r="BV8" s="56" t="str">
        <f ca="1">IF($H8=リスト!$AA$4,"-",
   IF($C8="-","-",
     IF(BV$4&gt;$P8,"-",
       IF(BV$4=1,$E8,OFFSET(BV8,0,-2)-OFFSET(BV8,0,-1)
))))</f>
        <v>-</v>
      </c>
      <c r="BW8" s="57" t="str">
        <f>IF($H8=リスト!$AA$4,"-",
 IF($C8="-","-",
  IF(BV$4&gt;$P8,"-",
   CHOOSE(MATCH($H$3,リスト!$AE$3:$AE$5,0),
    ROUNDUP(
      BV8*IF(BV8*$I8&lt;=$L8,$J8,$I8)*
      IF($P8=1,
         $S8/12,
         IF(BV$4=1,
            $T8/12,
            IF(BV$4=$P8,
               $U8/12,
               1
      ))),0),
    ROUNDDOWN(
      BV8*IF(BV8*$I8&lt;=$L8,$J8,$I8)*
      IF($P8=1,
         $S8/12,
         IF(BV$4=1,
            $T8/12,
            IF(BV$4=$P8,
               $U8/12,
               1
      ))),0),
    ROUND(
      BV8*IF(BV8*$I8&lt;=$L8,$J8,$I8)*
      IF($P8=1,
         $S8/12,
         IF(BV$4=1,
            $T8/12,
            IF(BV$4=$P8,
               $U8/12,
               1
      ))),0)
))))</f>
        <v>-</v>
      </c>
      <c r="BX8" s="56" t="str">
        <f ca="1">IF($H8=リスト!$AA$4,"-",
   IF($C8="-","-",
     IF(BX$4&gt;$P8,"-",
       IF(BX$4=1,$E8,OFFSET(BX8,0,-2)-OFFSET(BX8,0,-1)
))))</f>
        <v>-</v>
      </c>
      <c r="BY8" s="57" t="str">
        <f>IF($H8=リスト!$AA$4,"-",
 IF($C8="-","-",
  IF(BX$4&gt;$P8,"-",
   CHOOSE(MATCH($H$3,リスト!$AE$3:$AE$5,0),
    ROUNDUP(
      BX8*IF(BX8*$I8&lt;=$L8,$J8,$I8)*
      IF($P8=1,
         $S8/12,
         IF(BX$4=1,
            $T8/12,
            IF(BX$4=$P8,
               $U8/12,
               1
      ))),0),
    ROUNDDOWN(
      BX8*IF(BX8*$I8&lt;=$L8,$J8,$I8)*
      IF($P8=1,
         $S8/12,
         IF(BX$4=1,
            $T8/12,
            IF(BX$4=$P8,
               $U8/12,
               1
      ))),0),
    ROUND(
      BX8*IF(BX8*$I8&lt;=$L8,$J8,$I8)*
      IF($P8=1,
         $S8/12,
         IF(BX$4=1,
            $T8/12,
            IF(BX$4=$P8,
               $U8/12,
               1
      ))),0)
))))</f>
        <v>-</v>
      </c>
      <c r="BZ8" s="56" t="str">
        <f ca="1">IF($H8=リスト!$AA$4,"-",
   IF($C8="-","-",
     IF(BZ$4&gt;$P8,"-",
       IF(BZ$4=1,$E8,OFFSET(BZ8,0,-2)-OFFSET(BZ8,0,-1)
))))</f>
        <v>-</v>
      </c>
      <c r="CA8" s="57" t="str">
        <f>IF($H8=リスト!$AA$4,"-",
 IF($C8="-","-",
  IF(BZ$4&gt;$P8,"-",
   CHOOSE(MATCH($H$3,リスト!$AE$3:$AE$5,0),
    ROUNDUP(
      BZ8*IF(BZ8*$I8&lt;=$L8,$J8,$I8)*
      IF($P8=1,
         $S8/12,
         IF(BZ$4=1,
            $T8/12,
            IF(BZ$4=$P8,
               $U8/12,
               1
      ))),0),
    ROUNDDOWN(
      BZ8*IF(BZ8*$I8&lt;=$L8,$J8,$I8)*
      IF($P8=1,
         $S8/12,
         IF(BZ$4=1,
            $T8/12,
            IF(BZ$4=$P8,
               $U8/12,
               1
      ))),0),
    ROUND(
      BZ8*IF(BZ8*$I8&lt;=$L8,$J8,$I8)*
      IF($P8=1,
         $S8/12,
         IF(BZ$4=1,
            $T8/12,
            IF(BZ$4=$P8,
               $U8/12,
               1
      ))),0)
))))</f>
        <v>-</v>
      </c>
      <c r="CB8" s="56" t="str">
        <f ca="1">IF($H8=リスト!$AA$4,"-",
   IF($C8="-","-",
     IF(CB$4&gt;$P8,"-",
       IF(CB$4=1,$E8,OFFSET(CB8,0,-2)-OFFSET(CB8,0,-1)
))))</f>
        <v>-</v>
      </c>
      <c r="CC8" s="57" t="str">
        <f>IF($H8=リスト!$AA$4,"-",
 IF($C8="-","-",
  IF(CB$4&gt;$P8,"-",
   CHOOSE(MATCH($H$3,リスト!$AE$3:$AE$5,0),
    ROUNDUP(
      CB8*IF(CB8*$I8&lt;=$L8,$J8,$I8)*
      IF($P8=1,
         $S8/12,
         IF(CB$4=1,
            $T8/12,
            IF(CB$4=$P8,
               $U8/12,
               1
      ))),0),
    ROUNDDOWN(
      CB8*IF(CB8*$I8&lt;=$L8,$J8,$I8)*
      IF($P8=1,
         $S8/12,
         IF(CB$4=1,
            $T8/12,
            IF(CB$4=$P8,
               $U8/12,
               1
      ))),0),
    ROUND(
      CB8*IF(CB8*$I8&lt;=$L8,$J8,$I8)*
      IF($P8=1,
         $S8/12,
         IF(CB$4=1,
            $T8/12,
            IF(CB$4=$P8,
               $U8/12,
               1
      ))),0)
))))</f>
        <v>-</v>
      </c>
      <c r="CD8" s="56" t="str">
        <f ca="1">IF($H8=リスト!$AA$4,"-",
   IF($C8="-","-",
     IF(CD$4&gt;$P8,"-",
       IF(CD$4=1,$E8,OFFSET(CD8,0,-2)-OFFSET(CD8,0,-1)
))))</f>
        <v>-</v>
      </c>
      <c r="CE8" s="57" t="str">
        <f>IF($H8=リスト!$AA$4,"-",
 IF($C8="-","-",
  IF(CD$4&gt;$P8,"-",
   CHOOSE(MATCH($H$3,リスト!$AE$3:$AE$5,0),
    ROUNDUP(
      CD8*IF(CD8*$I8&lt;=$L8,$J8,$I8)*
      IF($P8=1,
         $S8/12,
         IF(CD$4=1,
            $T8/12,
            IF(CD$4=$P8,
               $U8/12,
               1
      ))),0),
    ROUNDDOWN(
      CD8*IF(CD8*$I8&lt;=$L8,$J8,$I8)*
      IF($P8=1,
         $S8/12,
         IF(CD$4=1,
            $T8/12,
            IF(CD$4=$P8,
               $U8/12,
               1
      ))),0),
    ROUND(
      CD8*IF(CD8*$I8&lt;=$L8,$J8,$I8)*
      IF($P8=1,
         $S8/12,
         IF(CD$4=1,
            $T8/12,
            IF(CD$4=$P8,
               $U8/12,
               1
      ))),0)
))))</f>
        <v>-</v>
      </c>
      <c r="CF8" s="56" t="str">
        <f ca="1">IF($H8=リスト!$AA$4,"-",
   IF($C8="-","-",
     IF(CF$4&gt;$P8,"-",
       IF(CF$4=1,$E8,OFFSET(CF8,0,-2)-OFFSET(CF8,0,-1)
))))</f>
        <v>-</v>
      </c>
      <c r="CG8" s="57" t="str">
        <f>IF($H8=リスト!$AA$4,"-",
 IF($C8="-","-",
  IF(CF$4&gt;$P8,"-",
   CHOOSE(MATCH($H$3,リスト!$AE$3:$AE$5,0),
    ROUNDUP(
      CF8*IF(CF8*$I8&lt;=$L8,$J8,$I8)*
      IF($P8=1,
         $S8/12,
         IF(CF$4=1,
            $T8/12,
            IF(CF$4=$P8,
               $U8/12,
               1
      ))),0),
    ROUNDDOWN(
      CF8*IF(CF8*$I8&lt;=$L8,$J8,$I8)*
      IF($P8=1,
         $S8/12,
         IF(CF$4=1,
            $T8/12,
            IF(CF$4=$P8,
               $U8/12,
               1
      ))),0),
    ROUND(
      CF8*IF(CF8*$I8&lt;=$L8,$J8,$I8)*
      IF($P8=1,
         $S8/12,
         IF(CF$4=1,
            $T8/12,
            IF(CF$4=$P8,
               $U8/12,
               1
      ))),0)
))))</f>
        <v>-</v>
      </c>
      <c r="CH8" s="56" t="str">
        <f ca="1">IF($H8=リスト!$AA$4,"-",
   IF($C8="-","-",
     IF(CH$4&gt;$P8,"-",
       IF(CH$4=1,$E8,OFFSET(CH8,0,-2)-OFFSET(CH8,0,-1)
))))</f>
        <v>-</v>
      </c>
      <c r="CI8" s="57" t="str">
        <f>IF($H8=リスト!$AA$4,"-",
 IF($C8="-","-",
  IF(CH$4&gt;$P8,"-",
   CHOOSE(MATCH($H$3,リスト!$AE$3:$AE$5,0),
    ROUNDUP(
      CH8*IF(CH8*$I8&lt;=$L8,$J8,$I8)*
      IF($P8=1,
         $S8/12,
         IF(CH$4=1,
            $T8/12,
            IF(CH$4=$P8,
               $U8/12,
               1
      ))),0),
    ROUNDDOWN(
      CH8*IF(CH8*$I8&lt;=$L8,$J8,$I8)*
      IF($P8=1,
         $S8/12,
         IF(CH$4=1,
            $T8/12,
            IF(CH$4=$P8,
               $U8/12,
               1
      ))),0),
    ROUND(
      CH8*IF(CH8*$I8&lt;=$L8,$J8,$I8)*
      IF($P8=1,
         $S8/12,
         IF(CH$4=1,
            $T8/12,
            IF(CH$4=$P8,
               $U8/12,
               1
      ))),0)
))))</f>
        <v>-</v>
      </c>
      <c r="CJ8" s="56" t="str">
        <f ca="1">IF($H8=リスト!$AA$4,"-",
   IF($C8="-","-",
     IF(CJ$4&gt;$P8,"-",
       IF(CJ$4=1,$E8,OFFSET(CJ8,0,-2)-OFFSET(CJ8,0,-1)
))))</f>
        <v>-</v>
      </c>
      <c r="CK8" s="57" t="str">
        <f>IF($H8=リスト!$AA$4,"-",
 IF($C8="-","-",
  IF(CJ$4&gt;$P8,"-",
   CHOOSE(MATCH($H$3,リスト!$AE$3:$AE$5,0),
    ROUNDUP(
      CJ8*IF(CJ8*$I8&lt;=$L8,$J8,$I8)*
      IF($P8=1,
         $S8/12,
         IF(CJ$4=1,
            $T8/12,
            IF(CJ$4=$P8,
               $U8/12,
               1
      ))),0),
    ROUNDDOWN(
      CJ8*IF(CJ8*$I8&lt;=$L8,$J8,$I8)*
      IF($P8=1,
         $S8/12,
         IF(CJ$4=1,
            $T8/12,
            IF(CJ$4=$P8,
               $U8/12,
               1
      ))),0),
    ROUND(
      CJ8*IF(CJ8*$I8&lt;=$L8,$J8,$I8)*
      IF($P8=1,
         $S8/12,
         IF(CJ$4=1,
            $T8/12,
            IF(CJ$4=$P8,
               $U8/12,
               1
      ))),0)
))))</f>
        <v>-</v>
      </c>
      <c r="CL8" s="56" t="str">
        <f ca="1">IF($H8=リスト!$AA$4,"-",
   IF($C8="-","-",
     IF(CL$4&gt;$P8,"-",
       IF(CL$4=1,$E8,OFFSET(CL8,0,-2)-OFFSET(CL8,0,-1)
))))</f>
        <v>-</v>
      </c>
      <c r="CM8" s="57" t="str">
        <f>IF($H8=リスト!$AA$4,"-",
 IF($C8="-","-",
  IF(CL$4&gt;$P8,"-",
   CHOOSE(MATCH($H$3,リスト!$AE$3:$AE$5,0),
    ROUNDUP(
      CL8*IF(CL8*$I8&lt;=$L8,$J8,$I8)*
      IF($P8=1,
         $S8/12,
         IF(CL$4=1,
            $T8/12,
            IF(CL$4=$P8,
               $U8/12,
               1
      ))),0),
    ROUNDDOWN(
      CL8*IF(CL8*$I8&lt;=$L8,$J8,$I8)*
      IF($P8=1,
         $S8/12,
         IF(CL$4=1,
            $T8/12,
            IF(CL$4=$P8,
               $U8/12,
               1
      ))),0),
    ROUND(
      CL8*IF(CL8*$I8&lt;=$L8,$J8,$I8)*
      IF($P8=1,
         $S8/12,
         IF(CL$4=1,
            $T8/12,
            IF(CL$4=$P8,
               $U8/12,
               1
      ))),0)
))))</f>
        <v>-</v>
      </c>
      <c r="CN8" s="56" t="str">
        <f ca="1">IF($H8=リスト!$AA$4,"-",
   IF($C8="-","-",
     IF(CN$4&gt;$P8,"-",
       IF(CN$4=1,$E8,OFFSET(CN8,0,-2)-OFFSET(CN8,0,-1)
))))</f>
        <v>-</v>
      </c>
      <c r="CO8" s="57" t="str">
        <f>IF($H8=リスト!$AA$4,"-",
 IF($C8="-","-",
  IF(CN$4&gt;$P8,"-",
   CHOOSE(MATCH($H$3,リスト!$AE$3:$AE$5,0),
    ROUNDUP(
      CN8*IF(CN8*$I8&lt;=$L8,$J8,$I8)*
      IF($P8=1,
         $S8/12,
         IF(CN$4=1,
            $T8/12,
            IF(CN$4=$P8,
               $U8/12,
               1
      ))),0),
    ROUNDDOWN(
      CN8*IF(CN8*$I8&lt;=$L8,$J8,$I8)*
      IF($P8=1,
         $S8/12,
         IF(CN$4=1,
            $T8/12,
            IF(CN$4=$P8,
               $U8/12,
               1
      ))),0),
    ROUND(
      CN8*IF(CN8*$I8&lt;=$L8,$J8,$I8)*
      IF($P8=1,
         $S8/12,
         IF(CN$4=1,
            $T8/12,
            IF(CN$4=$P8,
               $U8/12,
               1
      ))),0)
))))</f>
        <v>-</v>
      </c>
      <c r="CP8" s="56" t="str">
        <f ca="1">IF($H8=リスト!$AA$4,"-",
   IF($C8="-","-",
     IF(CP$4&gt;$P8,"-",
       IF(CP$4=1,$E8,OFFSET(CP8,0,-2)-OFFSET(CP8,0,-1)
))))</f>
        <v>-</v>
      </c>
      <c r="CQ8" s="57" t="str">
        <f>IF($H8=リスト!$AA$4,"-",
 IF($C8="-","-",
  IF(CP$4&gt;$P8,"-",
   CHOOSE(MATCH($H$3,リスト!$AE$3:$AE$5,0),
    ROUNDUP(
      CP8*IF(CP8*$I8&lt;=$L8,$J8,$I8)*
      IF($P8=1,
         $S8/12,
         IF(CP$4=1,
            $T8/12,
            IF(CP$4=$P8,
               $U8/12,
               1
      ))),0),
    ROUNDDOWN(
      CP8*IF(CP8*$I8&lt;=$L8,$J8,$I8)*
      IF($P8=1,
         $S8/12,
         IF(CP$4=1,
            $T8/12,
            IF(CP$4=$P8,
               $U8/12,
               1
      ))),0),
    ROUND(
      CP8*IF(CP8*$I8&lt;=$L8,$J8,$I8)*
      IF($P8=1,
         $S8/12,
         IF(CP$4=1,
            $T8/12,
            IF(CP$4=$P8,
               $U8/12,
               1
      ))),0)
))))</f>
        <v>-</v>
      </c>
      <c r="CR8" s="56" t="str">
        <f ca="1">IF($H8=リスト!$AA$4,"-",
   IF($C8="-","-",
     IF(CR$4&gt;$P8,"-",
       IF(CR$4=1,$E8,OFFSET(CR8,0,-2)-OFFSET(CR8,0,-1)
))))</f>
        <v>-</v>
      </c>
      <c r="CS8" s="57" t="str">
        <f>IF($H8=リスト!$AA$4,"-",
 IF($C8="-","-",
  IF(CR$4&gt;$P8,"-",
   CHOOSE(MATCH($H$3,リスト!$AE$3:$AE$5,0),
    ROUNDUP(
      CR8*IF(CR8*$I8&lt;=$L8,$J8,$I8)*
      IF($P8=1,
         $S8/12,
         IF(CR$4=1,
            $T8/12,
            IF(CR$4=$P8,
               $U8/12,
               1
      ))),0),
    ROUNDDOWN(
      CR8*IF(CR8*$I8&lt;=$L8,$J8,$I8)*
      IF($P8=1,
         $S8/12,
         IF(CR$4=1,
            $T8/12,
            IF(CR$4=$P8,
               $U8/12,
               1
      ))),0),
    ROUND(
      CR8*IF(CR8*$I8&lt;=$L8,$J8,$I8)*
      IF($P8=1,
         $S8/12,
         IF(CR$4=1,
            $T8/12,
            IF(CR$4=$P8,
               $U8/12,
               1
      ))),0)
))))</f>
        <v>-</v>
      </c>
      <c r="CT8" s="56" t="str">
        <f ca="1">IF($H8=リスト!$AA$4,"-",
   IF($C8="-","-",
     IF(CT$4&gt;$P8,"-",
       IF(CT$4=1,$E8,OFFSET(CT8,0,-2)-OFFSET(CT8,0,-1)
))))</f>
        <v>-</v>
      </c>
      <c r="CU8" s="57" t="str">
        <f>IF($H8=リスト!$AA$4,"-",
 IF($C8="-","-",
  IF(CT$4&gt;$P8,"-",
   CHOOSE(MATCH($H$3,リスト!$AE$3:$AE$5,0),
    ROUNDUP(
      CT8*IF(CT8*$I8&lt;=$L8,$J8,$I8)*
      IF($P8=1,
         $S8/12,
         IF(CT$4=1,
            $T8/12,
            IF(CT$4=$P8,
               $U8/12,
               1
      ))),0),
    ROUNDDOWN(
      CT8*IF(CT8*$I8&lt;=$L8,$J8,$I8)*
      IF($P8=1,
         $S8/12,
         IF(CT$4=1,
            $T8/12,
            IF(CT$4=$P8,
               $U8/12,
               1
      ))),0),
    ROUND(
      CT8*IF(CT8*$I8&lt;=$L8,$J8,$I8)*
      IF($P8=1,
         $S8/12,
         IF(CT$4=1,
            $T8/12,
            IF(CT$4=$P8,
               $U8/12,
               1
      ))),0)
))))</f>
        <v>-</v>
      </c>
      <c r="CV8" s="56" t="str">
        <f ca="1">IF($H8=リスト!$AA$4,"-",
   IF($C8="-","-",
     IF(CV$4&gt;$P8,"-",
       IF(CV$4=1,$E8,OFFSET(CV8,0,-2)-OFFSET(CV8,0,-1)
))))</f>
        <v>-</v>
      </c>
      <c r="CW8" s="57" t="str">
        <f>IF($H8=リスト!$AA$4,"-",
 IF($C8="-","-",
  IF(CV$4&gt;$P8,"-",
   CHOOSE(MATCH($H$3,リスト!$AE$3:$AE$5,0),
    ROUNDUP(
      CV8*IF(CV8*$I8&lt;=$L8,$J8,$I8)*
      IF($P8=1,
         $S8/12,
         IF(CV$4=1,
            $T8/12,
            IF(CV$4=$P8,
               $U8/12,
               1
      ))),0),
    ROUNDDOWN(
      CV8*IF(CV8*$I8&lt;=$L8,$J8,$I8)*
      IF($P8=1,
         $S8/12,
         IF(CV$4=1,
            $T8/12,
            IF(CV$4=$P8,
               $U8/12,
               1
      ))),0),
    ROUND(
      CV8*IF(CV8*$I8&lt;=$L8,$J8,$I8)*
      IF($P8=1,
         $S8/12,
         IF(CV$4=1,
            $T8/12,
            IF(CV$4=$P8,
               $U8/12,
               1
      ))),0)
))))</f>
        <v>-</v>
      </c>
      <c r="CX8" s="56" t="str">
        <f ca="1">IF($H8=リスト!$AA$4,"-",
   IF($C8="-","-",
     IF(CX$4&gt;$P8,"-",
       IF(CX$4=1,$E8,OFFSET(CX8,0,-2)-OFFSET(CX8,0,-1)
))))</f>
        <v>-</v>
      </c>
      <c r="CY8" s="57" t="str">
        <f>IF($H8=リスト!$AA$4,"-",
 IF($C8="-","-",
  IF(CX$4&gt;$P8,"-",
   CHOOSE(MATCH($H$3,リスト!$AE$3:$AE$5,0),
    ROUNDUP(
      CX8*IF(CX8*$I8&lt;=$L8,$J8,$I8)*
      IF($P8=1,
         $S8/12,
         IF(CX$4=1,
            $T8/12,
            IF(CX$4=$P8,
               $U8/12,
               1
      ))),0),
    ROUNDDOWN(
      CX8*IF(CX8*$I8&lt;=$L8,$J8,$I8)*
      IF($P8=1,
         $S8/12,
         IF(CX$4=1,
            $T8/12,
            IF(CX$4=$P8,
               $U8/12,
               1
      ))),0),
    ROUND(
      CX8*IF(CX8*$I8&lt;=$L8,$J8,$I8)*
      IF($P8=1,
         $S8/12,
         IF(CX$4=1,
            $T8/12,
            IF(CX$4=$P8,
               $U8/12,
               1
      ))),0)
))))</f>
        <v>-</v>
      </c>
      <c r="CZ8" s="56" t="str">
        <f ca="1">IF($H8=リスト!$AA$4,"-",
   IF($C8="-","-",
     IF(CZ$4&gt;$P8,"-",
       IF(CZ$4=1,$E8,OFFSET(CZ8,0,-2)-OFFSET(CZ8,0,-1)
))))</f>
        <v>-</v>
      </c>
      <c r="DA8" s="57" t="str">
        <f>IF($H8=リスト!$AA$4,"-",
 IF($C8="-","-",
  IF(CZ$4&gt;$P8,"-",
   CHOOSE(MATCH($H$3,リスト!$AE$3:$AE$5,0),
    ROUNDUP(
      CZ8*IF(CZ8*$I8&lt;=$L8,$J8,$I8)*
      IF($P8=1,
         $S8/12,
         IF(CZ$4=1,
            $T8/12,
            IF(CZ$4=$P8,
               $U8/12,
               1
      ))),0),
    ROUNDDOWN(
      CZ8*IF(CZ8*$I8&lt;=$L8,$J8,$I8)*
      IF($P8=1,
         $S8/12,
         IF(CZ$4=1,
            $T8/12,
            IF(CZ$4=$P8,
               $U8/12,
               1
      ))),0),
    ROUND(
      CZ8*IF(CZ8*$I8&lt;=$L8,$J8,$I8)*
      IF($P8=1,
         $S8/12,
         IF(CZ$4=1,
            $T8/12,
            IF(CZ$4=$P8,
               $U8/12,
               1
      ))),0)
))))</f>
        <v>-</v>
      </c>
      <c r="DB8" s="56" t="str">
        <f ca="1">IF($H8=リスト!$AA$4,"-",
   IF($C8="-","-",
     IF(DB$4&gt;$P8,"-",
       IF(DB$4=1,$E8,OFFSET(DB8,0,-2)-OFFSET(DB8,0,-1)
))))</f>
        <v>-</v>
      </c>
      <c r="DC8" s="57" t="str">
        <f>IF($H8=リスト!$AA$4,"-",
 IF($C8="-","-",
  IF(DB$4&gt;$P8,"-",
   CHOOSE(MATCH($H$3,リスト!$AE$3:$AE$5,0),
    ROUNDUP(
      DB8*IF(DB8*$I8&lt;=$L8,$J8,$I8)*
      IF($P8=1,
         $S8/12,
         IF(DB$4=1,
            $T8/12,
            IF(DB$4=$P8,
               $U8/12,
               1
      ))),0),
    ROUNDDOWN(
      DB8*IF(DB8*$I8&lt;=$L8,$J8,$I8)*
      IF($P8=1,
         $S8/12,
         IF(DB$4=1,
            $T8/12,
            IF(DB$4=$P8,
               $U8/12,
               1
      ))),0),
    ROUND(
      DB8*IF(DB8*$I8&lt;=$L8,$J8,$I8)*
      IF($P8=1,
         $S8/12,
         IF(DB$4=1,
            $T8/12,
            IF(DB$4=$P8,
               $U8/12,
               1
      ))),0)
))))</f>
        <v>-</v>
      </c>
      <c r="DD8" s="56" t="str">
        <f ca="1">IF($H8=リスト!$AA$4,"-",
   IF($C8="-","-",
     IF(DD$4&gt;$P8,"-",
       IF(DD$4=1,$E8,OFFSET(DD8,0,-2)-OFFSET(DD8,0,-1)
))))</f>
        <v>-</v>
      </c>
      <c r="DE8" s="57" t="str">
        <f>IF($H8=リスト!$AA$4,"-",
 IF($C8="-","-",
  IF(DD$4&gt;$P8,"-",
   CHOOSE(MATCH($H$3,リスト!$AE$3:$AE$5,0),
    ROUNDUP(
      DD8*IF(DD8*$I8&lt;=$L8,$J8,$I8)*
      IF($P8=1,
         $S8/12,
         IF(DD$4=1,
            $T8/12,
            IF(DD$4=$P8,
               $U8/12,
               1
      ))),0),
    ROUNDDOWN(
      DD8*IF(DD8*$I8&lt;=$L8,$J8,$I8)*
      IF($P8=1,
         $S8/12,
         IF(DD$4=1,
            $T8/12,
            IF(DD$4=$P8,
               $U8/12,
               1
      ))),0),
    ROUND(
      DD8*IF(DD8*$I8&lt;=$L8,$J8,$I8)*
      IF($P8=1,
         $S8/12,
         IF(DD$4=1,
            $T8/12,
            IF(DD$4=$P8,
               $U8/12,
               1
      ))),0)
))))</f>
        <v>-</v>
      </c>
      <c r="DF8" s="56" t="str">
        <f ca="1">IF($H8=リスト!$AA$4,"-",
   IF($C8="-","-",
     IF(DF$4&gt;$P8,"-",
       IF(DF$4=1,$E8,OFFSET(DF8,0,-2)-OFFSET(DF8,0,-1)
))))</f>
        <v>-</v>
      </c>
      <c r="DG8" s="57" t="str">
        <f>IF($H8=リスト!$AA$4,"-",
 IF($C8="-","-",
  IF(DF$4&gt;$P8,"-",
   CHOOSE(MATCH($H$3,リスト!$AE$3:$AE$5,0),
    ROUNDUP(
      DF8*IF(DF8*$I8&lt;=$L8,$J8,$I8)*
      IF($P8=1,
         $S8/12,
         IF(DF$4=1,
            $T8/12,
            IF(DF$4=$P8,
               $U8/12,
               1
      ))),0),
    ROUNDDOWN(
      DF8*IF(DF8*$I8&lt;=$L8,$J8,$I8)*
      IF($P8=1,
         $S8/12,
         IF(DF$4=1,
            $T8/12,
            IF(DF$4=$P8,
               $U8/12,
               1
      ))),0),
    ROUND(
      DF8*IF(DF8*$I8&lt;=$L8,$J8,$I8)*
      IF($P8=1,
         $S8/12,
         IF(DF$4=1,
            $T8/12,
            IF(DF$4=$P8,
               $U8/12,
               1
      ))),0)
))))</f>
        <v>-</v>
      </c>
      <c r="DH8" s="56" t="str">
        <f ca="1">IF($H8=リスト!$AA$4,"-",
   IF($C8="-","-",
     IF(DH$4&gt;$P8,"-",
       IF(DH$4=1,$E8,OFFSET(DH8,0,-2)-OFFSET(DH8,0,-1)
))))</f>
        <v>-</v>
      </c>
      <c r="DI8" s="57" t="str">
        <f>IF($H8=リスト!$AA$4,"-",
 IF($C8="-","-",
  IF(DH$4&gt;$P8,"-",
   CHOOSE(MATCH($H$3,リスト!$AE$3:$AE$5,0),
    ROUNDUP(
      DH8*IF(DH8*$I8&lt;=$L8,$J8,$I8)*
      IF($P8=1,
         $S8/12,
         IF(DH$4=1,
            $T8/12,
            IF(DH$4=$P8,
               $U8/12,
               1
      ))),0),
    ROUNDDOWN(
      DH8*IF(DH8*$I8&lt;=$L8,$J8,$I8)*
      IF($P8=1,
         $S8/12,
         IF(DH$4=1,
            $T8/12,
            IF(DH$4=$P8,
               $U8/12,
               1
      ))),0),
    ROUND(
      DH8*IF(DH8*$I8&lt;=$L8,$J8,$I8)*
      IF($P8=1,
         $S8/12,
         IF(DH$4=1,
            $T8/12,
            IF(DH$4=$P8,
               $U8/12,
               1
      ))),0)
))))</f>
        <v>-</v>
      </c>
      <c r="DJ8" s="56" t="str">
        <f ca="1">IF($H8=リスト!$AA$4,"-",
   IF($C8="-","-",
     IF(DJ$4&gt;$P8,"-",
       IF(DJ$4=1,$E8,OFFSET(DJ8,0,-2)-OFFSET(DJ8,0,-1)
))))</f>
        <v>-</v>
      </c>
      <c r="DK8" s="57" t="str">
        <f>IF($H8=リスト!$AA$4,"-",
 IF($C8="-","-",
  IF(DJ$4&gt;$P8,"-",
   CHOOSE(MATCH($H$3,リスト!$AE$3:$AE$5,0),
    ROUNDUP(
      DJ8*IF(DJ8*$I8&lt;=$L8,$J8,$I8)*
      IF($P8=1,
         $S8/12,
         IF(DJ$4=1,
            $T8/12,
            IF(DJ$4=$P8,
               $U8/12,
               1
      ))),0),
    ROUNDDOWN(
      DJ8*IF(DJ8*$I8&lt;=$L8,$J8,$I8)*
      IF($P8=1,
         $S8/12,
         IF(DJ$4=1,
            $T8/12,
            IF(DJ$4=$P8,
               $U8/12,
               1
      ))),0),
    ROUND(
      DJ8*IF(DJ8*$I8&lt;=$L8,$J8,$I8)*
      IF($P8=1,
         $S8/12,
         IF(DJ$4=1,
            $T8/12,
            IF(DJ$4=$P8,
               $U8/12,
               1
      ))),0)
))))</f>
        <v>-</v>
      </c>
      <c r="DL8" s="56" t="str">
        <f ca="1">IF($H8=リスト!$AA$4,"-",
   IF($C8="-","-",
     IF(DL$4&gt;$P8,"-",
       IF(DL$4=1,$E8,OFFSET(DL8,0,-2)-OFFSET(DL8,0,-1)
))))</f>
        <v>-</v>
      </c>
      <c r="DM8" s="57" t="str">
        <f>IF($H8=リスト!$AA$4,"-",
 IF($C8="-","-",
  IF(DL$4&gt;$P8,"-",
   CHOOSE(MATCH($H$3,リスト!$AE$3:$AE$5,0),
    ROUNDUP(
      DL8*IF(DL8*$I8&lt;=$L8,$J8,$I8)*
      IF($P8=1,
         $S8/12,
         IF(DL$4=1,
            $T8/12,
            IF(DL$4=$P8,
               $U8/12,
               1
      ))),0),
    ROUNDDOWN(
      DL8*IF(DL8*$I8&lt;=$L8,$J8,$I8)*
      IF($P8=1,
         $S8/12,
         IF(DL$4=1,
            $T8/12,
            IF(DL$4=$P8,
               $U8/12,
               1
      ))),0),
    ROUND(
      DL8*IF(DL8*$I8&lt;=$L8,$J8,$I8)*
      IF($P8=1,
         $S8/12,
         IF(DL$4=1,
            $T8/12,
            IF(DL$4=$P8,
               $U8/12,
               1
      ))),0)
))))</f>
        <v>-</v>
      </c>
      <c r="DN8" s="56" t="str">
        <f ca="1">IF($H8=リスト!$AA$4,"-",
   IF($C8="-","-",
     IF(DN$4&gt;$P8,"-",
       IF(DN$4=1,$E8,OFFSET(DN8,0,-2)-OFFSET(DN8,0,-1)
))))</f>
        <v>-</v>
      </c>
      <c r="DO8" s="57" t="str">
        <f>IF($H8=リスト!$AA$4,"-",
 IF($C8="-","-",
  IF(DN$4&gt;$P8,"-",
   CHOOSE(MATCH($H$3,リスト!$AE$3:$AE$5,0),
    ROUNDUP(
      DN8*IF(DN8*$I8&lt;=$L8,$J8,$I8)*
      IF($P8=1,
         $S8/12,
         IF(DN$4=1,
            $T8/12,
            IF(DN$4=$P8,
               $U8/12,
               1
      ))),0),
    ROUNDDOWN(
      DN8*IF(DN8*$I8&lt;=$L8,$J8,$I8)*
      IF($P8=1,
         $S8/12,
         IF(DN$4=1,
            $T8/12,
            IF(DN$4=$P8,
               $U8/12,
               1
      ))),0),
    ROUND(
      DN8*IF(DN8*$I8&lt;=$L8,$J8,$I8)*
      IF($P8=1,
         $S8/12,
         IF(DN$4=1,
            $T8/12,
            IF(DN$4=$P8,
               $U8/12,
               1
      ))),0)
))))</f>
        <v>-</v>
      </c>
      <c r="DP8" s="56" t="str">
        <f ca="1">IF($H8=リスト!$AA$4,"-",
   IF($C8="-","-",
     IF(DP$4&gt;$P8,"-",
       IF(DP$4=1,$E8,OFFSET(DP8,0,-2)-OFFSET(DP8,0,-1)
))))</f>
        <v>-</v>
      </c>
      <c r="DQ8" s="57" t="str">
        <f>IF($H8=リスト!$AA$4,"-",
 IF($C8="-","-",
  IF(DP$4&gt;$P8,"-",
   CHOOSE(MATCH($H$3,リスト!$AE$3:$AE$5,0),
    ROUNDUP(
      DP8*IF(DP8*$I8&lt;=$L8,$J8,$I8)*
      IF($P8=1,
         $S8/12,
         IF(DP$4=1,
            $T8/12,
            IF(DP$4=$P8,
               $U8/12,
               1
      ))),0),
    ROUNDDOWN(
      DP8*IF(DP8*$I8&lt;=$L8,$J8,$I8)*
      IF($P8=1,
         $S8/12,
         IF(DP$4=1,
            $T8/12,
            IF(DP$4=$P8,
               $U8/12,
               1
      ))),0),
    ROUND(
      DP8*IF(DP8*$I8&lt;=$L8,$J8,$I8)*
      IF($P8=1,
         $S8/12,
         IF(DP$4=1,
            $T8/12,
            IF(DP$4=$P8,
               $U8/12,
               1
      ))),0)
))))</f>
        <v>-</v>
      </c>
      <c r="DR8" s="56" t="str">
        <f ca="1">IF($H8=リスト!$AA$4,"-",
   IF($C8="-","-",
     IF(DR$4&gt;$P8,"-",
       IF(DR$4=1,$E8,OFFSET(DR8,0,-2)-OFFSET(DR8,0,-1)
))))</f>
        <v>-</v>
      </c>
      <c r="DS8" s="57" t="str">
        <f>IF($H8=リスト!$AA$4,"-",
 IF($C8="-","-",
  IF(DR$4&gt;$P8,"-",
   CHOOSE(MATCH($H$3,リスト!$AE$3:$AE$5,0),
    ROUNDUP(
      DR8*IF(DR8*$I8&lt;=$L8,$J8,$I8)*
      IF($P8=1,
         $S8/12,
         IF(DR$4=1,
            $T8/12,
            IF(DR$4=$P8,
               $U8/12,
               1
      ))),0),
    ROUNDDOWN(
      DR8*IF(DR8*$I8&lt;=$L8,$J8,$I8)*
      IF($P8=1,
         $S8/12,
         IF(DR$4=1,
            $T8/12,
            IF(DR$4=$P8,
               $U8/12,
               1
      ))),0),
    ROUND(
      DR8*IF(DR8*$I8&lt;=$L8,$J8,$I8)*
      IF($P8=1,
         $S8/12,
         IF(DR$4=1,
            $T8/12,
            IF(DR$4=$P8,
               $U8/12,
               1
      ))),0)
))))</f>
        <v>-</v>
      </c>
      <c r="DT8" s="56" t="str" cm="1">
        <f t="array" ref="DT8">IF($H8&lt;&gt;リスト!$AA$3,"-",$E8-SUMPRODUCT(IFERROR($Y8:$DS8*1,0), --(MOD(COLUMN($Y8:$DS8)-COLUMN($Y8),2)=0)))</f>
        <v>-</v>
      </c>
      <c r="DU8" s="56" t="str">
        <f>IF($H8&lt;&gt;リスト!$AA$4,"-",
    IF($H$3=リスト!$AE$3,$E8-ROUNDUP($E8*I8*$W8/12,0),
    IF($H$3=リスト!$AE$4,$E8-ROUNDDOWN($E8*I8*$W8/12,0),
    IF($H$3=リスト!$AE$5,$E8-ROUND($E8*I8*$W8/12,0),
    "-"))))</f>
        <v>-</v>
      </c>
    </row>
    <row r="9" spans="2:125">
      <c r="B9" s="54">
        <v>4</v>
      </c>
      <c r="C9" s="55" t="str">
        <f>IF(財産処分報告用!$C9="","-",財産処分報告用!$C9)</f>
        <v>-</v>
      </c>
      <c r="D9" s="55" t="str">
        <f>財産処分報告用!$E9</f>
        <v>-</v>
      </c>
      <c r="E9" s="56" t="str">
        <f>IF(財産処分報告用!$J9="","-",財産処分報告用!$J9)</f>
        <v>-</v>
      </c>
      <c r="F9" s="101" t="str">
        <f>IF(財産処分報告用!$K9="","-",財産処分報告用!$K9)</f>
        <v>-</v>
      </c>
      <c r="G9" s="101" t="str">
        <f>IF(財産処分報告用!$L9="","-",財産処分報告用!$L9)</f>
        <v>-</v>
      </c>
      <c r="H9" s="55" t="str">
        <f>IF(財産処分報告用!$M9="","-",財産処分報告用!$M9)</f>
        <v>-</v>
      </c>
      <c r="I9" s="55" t="str">
        <f>IF(OR($D9="-",$H9="-"),"-",INDEX(リスト!$AG$2:$AI$101,MATCH($D9,リスト!$AG$2:$AG$101,0),MATCH($H9,リスト!$AG$2:$AI$2,0)))</f>
        <v>-</v>
      </c>
      <c r="J9" s="55" t="str">
        <f>IF(OR($D9="-",$H9="-"),"-",IF($H9=リスト!$AA$4,"-",INDEX(リスト!$AG$2:$AK$101,MATCH($D9,リスト!$AG$2:$AG$101,0),4)))</f>
        <v>-</v>
      </c>
      <c r="K9" s="55" t="str">
        <f>IF(OR($D9="-",$H9="-"),"-",IF($H9=リスト!$AA$4,"-",INDEX(リスト!$AG$2:$AK$101,MATCH($D9,リスト!$AG$2:$AG$101,0),5)))</f>
        <v>-</v>
      </c>
      <c r="L9" s="55" t="str">
        <f t="shared" si="0"/>
        <v>-</v>
      </c>
      <c r="M9" s="101" t="str">
        <f t="shared" si="1"/>
        <v>-</v>
      </c>
      <c r="N9" s="101" t="str">
        <f t="shared" si="2"/>
        <v>-</v>
      </c>
      <c r="O9" s="101" t="str">
        <f t="shared" si="3"/>
        <v>-</v>
      </c>
      <c r="P9" s="102" t="str">
        <f t="shared" si="4"/>
        <v>-</v>
      </c>
      <c r="Q9" s="115" t="str">
        <f t="shared" si="5"/>
        <v>-</v>
      </c>
      <c r="R9" s="116" t="str">
        <f t="shared" si="6"/>
        <v>-</v>
      </c>
      <c r="S9" s="102" t="str">
        <f t="shared" si="7"/>
        <v>-</v>
      </c>
      <c r="T9" s="102" t="str">
        <f t="shared" si="8"/>
        <v>-</v>
      </c>
      <c r="U9" s="102" t="str">
        <f t="shared" si="9"/>
        <v>-</v>
      </c>
      <c r="V9" s="102" t="str">
        <f t="shared" si="10"/>
        <v>-</v>
      </c>
      <c r="W9" s="55" t="str">
        <f t="shared" si="11"/>
        <v>-</v>
      </c>
      <c r="X9" s="56" t="str">
        <f ca="1">IF($H9=リスト!$AA$4,"-",
   IF($C9="-","-",
     IF(X$4&gt;$P9,"-",
       IF(X$4=1,$E9,OFFSET(X9,0,-2)-OFFSET(X9,0,-1)
))))</f>
        <v>-</v>
      </c>
      <c r="Y9" s="57" t="str">
        <f>IF($H9=リスト!$AA$4,"-",
 IF($C9="-","-",
  IF(X$4&gt;$P9,"-",
   CHOOSE(MATCH($H$3,リスト!$AE$3:$AE$5,0),
    ROUNDUP(
      X9*IF(X9*$I9&lt;=$L9,$J9,$I9)*
      IF($P9=1,
         $S9/12,
         IF(X$4=1,
            $T9/12,
            IF(X$4=$P9,
               $U9/12,
               1
      ))),0),
    ROUNDDOWN(
      X9*IF(X9*$I9&lt;=$L9,$J9,$I9)*
      IF($P9=1,
         $S9/12,
         IF(X$4=1,
            $T9/12,
            IF(X$4=$P9,
               $U9/12,
               1
      ))),0),
    ROUND(
      X9*IF(X9*$I9&lt;=$L9,$J9,$I9)*
      IF($P9=1,
         $S9/12,
         IF(X$4=1,
            $T9/12,
            IF(X$4=$P9,
               $U9/12,
               1
      ))),0)
))))</f>
        <v>-</v>
      </c>
      <c r="Z9" s="56" t="str">
        <f ca="1">IF($H9=リスト!$AA$4,"-",
   IF($C9="-","-",
     IF(Z$4&gt;$P9,"-",
       IF(Z$4=1,$E9,OFFSET(Z9,0,-2)-OFFSET(Z9,0,-1)
))))</f>
        <v>-</v>
      </c>
      <c r="AA9" s="57" t="str">
        <f>IF($H9=リスト!$AA$4,"-",
 IF($C9="-","-",
  IF(Z$4&gt;$P9,"-",
   CHOOSE(MATCH($H$3,リスト!$AE$3:$AE$5,0),
    ROUNDUP(
      Z9*IF(Z9*$I9&lt;=$L9,$J9,$I9)*
      IF($P9=1,
         $S9/12,
         IF(Z$4=1,
            $T9/12,
            IF(Z$4=$P9,
               $U9/12,
               1
      ))),0),
    ROUNDDOWN(
      Z9*IF(Z9*$I9&lt;=$L9,$J9,$I9)*
      IF($P9=1,
         $S9/12,
         IF(Z$4=1,
            $T9/12,
            IF(Z$4=$P9,
               $U9/12,
               1
      ))),0),
    ROUND(
      Z9*IF(Z9*$I9&lt;=$L9,$J9,$I9)*
      IF($P9=1,
         $S9/12,
         IF(Z$4=1,
            $T9/12,
            IF(Z$4=$P9,
               $U9/12,
               1
      ))),0)
))))</f>
        <v>-</v>
      </c>
      <c r="AB9" s="56" t="str">
        <f ca="1">IF($H9=リスト!$AA$4,"-",
   IF($C9="-","-",
     IF(AB$4&gt;$P9,"-",
       IF(AB$4=1,$E9,OFFSET(AB9,0,-2)-OFFSET(AB9,0,-1)
))))</f>
        <v>-</v>
      </c>
      <c r="AC9" s="57" t="str">
        <f>IF($H9=リスト!$AA$4,"-",
 IF($C9="-","-",
  IF(AB$4&gt;$P9,"-",
   CHOOSE(MATCH($H$3,リスト!$AE$3:$AE$5,0),
    ROUNDUP(
      AB9*IF(AB9*$I9&lt;=$L9,$J9,$I9)*
      IF($P9=1,
         $S9/12,
         IF(AB$4=1,
            $T9/12,
            IF(AB$4=$P9,
               $U9/12,
               1
      ))),0),
    ROUNDDOWN(
      AB9*IF(AB9*$I9&lt;=$L9,$J9,$I9)*
      IF($P9=1,
         $S9/12,
         IF(AB$4=1,
            $T9/12,
            IF(AB$4=$P9,
               $U9/12,
               1
      ))),0),
    ROUND(
      AB9*IF(AB9*$I9&lt;=$L9,$J9,$I9)*
      IF($P9=1,
         $S9/12,
         IF(AB$4=1,
            $T9/12,
            IF(AB$4=$P9,
               $U9/12,
               1
      ))),0)
))))</f>
        <v>-</v>
      </c>
      <c r="AD9" s="56" t="str">
        <f ca="1">IF($H9=リスト!$AA$4,"-",
   IF($C9="-","-",
     IF(AD$4&gt;$P9,"-",
       IF(AD$4=1,$E9,OFFSET(AD9,0,-2)-OFFSET(AD9,0,-1)
))))</f>
        <v>-</v>
      </c>
      <c r="AE9" s="57" t="str">
        <f>IF($H9=リスト!$AA$4,"-",
 IF($C9="-","-",
  IF(AD$4&gt;$P9,"-",
   CHOOSE(MATCH($H$3,リスト!$AE$3:$AE$5,0),
    ROUNDUP(
      AD9*IF(AD9*$I9&lt;=$L9,$J9,$I9)*
      IF($P9=1,
         $S9/12,
         IF(AD$4=1,
            $T9/12,
            IF(AD$4=$P9,
               $U9/12,
               1
      ))),0),
    ROUNDDOWN(
      AD9*IF(AD9*$I9&lt;=$L9,$J9,$I9)*
      IF($P9=1,
         $S9/12,
         IF(AD$4=1,
            $T9/12,
            IF(AD$4=$P9,
               $U9/12,
               1
      ))),0),
    ROUND(
      AD9*IF(AD9*$I9&lt;=$L9,$J9,$I9)*
      IF($P9=1,
         $S9/12,
         IF(AD$4=1,
            $T9/12,
            IF(AD$4=$P9,
               $U9/12,
               1
      ))),0)
))))</f>
        <v>-</v>
      </c>
      <c r="AF9" s="56" t="str">
        <f ca="1">IF($H9=リスト!$AA$4,"-",
   IF($C9="-","-",
     IF(AF$4&gt;$P9,"-",
       IF(AF$4=1,$E9,OFFSET(AF9,0,-2)-OFFSET(AF9,0,-1)
))))</f>
        <v>-</v>
      </c>
      <c r="AG9" s="57" t="str">
        <f>IF($H9=リスト!$AA$4,"-",
 IF($C9="-","-",
  IF(AF$4&gt;$P9,"-",
   CHOOSE(MATCH($H$3,リスト!$AE$3:$AE$5,0),
    ROUNDUP(
      AF9*IF(AF9*$I9&lt;=$L9,$J9,$I9)*
      IF($P9=1,
         $S9/12,
         IF(AF$4=1,
            $T9/12,
            IF(AF$4=$P9,
               $U9/12,
               1
      ))),0),
    ROUNDDOWN(
      AF9*IF(AF9*$I9&lt;=$L9,$J9,$I9)*
      IF($P9=1,
         $S9/12,
         IF(AF$4=1,
            $T9/12,
            IF(AF$4=$P9,
               $U9/12,
               1
      ))),0),
    ROUND(
      AF9*IF(AF9*$I9&lt;=$L9,$J9,$I9)*
      IF($P9=1,
         $S9/12,
         IF(AF$4=1,
            $T9/12,
            IF(AF$4=$P9,
               $U9/12,
               1
      ))),0)
))))</f>
        <v>-</v>
      </c>
      <c r="AH9" s="56" t="str">
        <f ca="1">IF($H9=リスト!$AA$4,"-",
   IF($C9="-","-",
     IF(AH$4&gt;$P9,"-",
       IF(AH$4=1,$E9,OFFSET(AH9,0,-2)-OFFSET(AH9,0,-1)
))))</f>
        <v>-</v>
      </c>
      <c r="AI9" s="57" t="str">
        <f>IF($H9=リスト!$AA$4,"-",
 IF($C9="-","-",
  IF(AH$4&gt;$P9,"-",
   CHOOSE(MATCH($H$3,リスト!$AE$3:$AE$5,0),
    ROUNDUP(
      AH9*IF(AH9*$I9&lt;=$L9,$J9,$I9)*
      IF($P9=1,
         $S9/12,
         IF(AH$4=1,
            $T9/12,
            IF(AH$4=$P9,
               $U9/12,
               1
      ))),0),
    ROUNDDOWN(
      AH9*IF(AH9*$I9&lt;=$L9,$J9,$I9)*
      IF($P9=1,
         $S9/12,
         IF(AH$4=1,
            $T9/12,
            IF(AH$4=$P9,
               $U9/12,
               1
      ))),0),
    ROUND(
      AH9*IF(AH9*$I9&lt;=$L9,$J9,$I9)*
      IF($P9=1,
         $S9/12,
         IF(AH$4=1,
            $T9/12,
            IF(AH$4=$P9,
               $U9/12,
               1
      ))),0)
))))</f>
        <v>-</v>
      </c>
      <c r="AJ9" s="56" t="str">
        <f ca="1">IF($H9=リスト!$AA$4,"-",
   IF($C9="-","-",
     IF(AJ$4&gt;$P9,"-",
       IF(AJ$4=1,$E9,OFFSET(AJ9,0,-2)-OFFSET(AJ9,0,-1)
))))</f>
        <v>-</v>
      </c>
      <c r="AK9" s="57" t="str">
        <f>IF($H9=リスト!$AA$4,"-",
 IF($C9="-","-",
  IF(AJ$4&gt;$P9,"-",
   CHOOSE(MATCH($H$3,リスト!$AE$3:$AE$5,0),
    ROUNDUP(
      AJ9*IF(AJ9*$I9&lt;=$L9,$J9,$I9)*
      IF($P9=1,
         $S9/12,
         IF(AJ$4=1,
            $T9/12,
            IF(AJ$4=$P9,
               $U9/12,
               1
      ))),0),
    ROUNDDOWN(
      AJ9*IF(AJ9*$I9&lt;=$L9,$J9,$I9)*
      IF($P9=1,
         $S9/12,
         IF(AJ$4=1,
            $T9/12,
            IF(AJ$4=$P9,
               $U9/12,
               1
      ))),0),
    ROUND(
      AJ9*IF(AJ9*$I9&lt;=$L9,$J9,$I9)*
      IF($P9=1,
         $S9/12,
         IF(AJ$4=1,
            $T9/12,
            IF(AJ$4=$P9,
               $U9/12,
               1
      ))),0)
))))</f>
        <v>-</v>
      </c>
      <c r="AL9" s="56" t="str">
        <f ca="1">IF($H9=リスト!$AA$4,"-",
   IF($C9="-","-",
     IF(AL$4&gt;$P9,"-",
       IF(AL$4=1,$E9,OFFSET(AL9,0,-2)-OFFSET(AL9,0,-1)
))))</f>
        <v>-</v>
      </c>
      <c r="AM9" s="57" t="str">
        <f>IF($H9=リスト!$AA$4,"-",
 IF($C9="-","-",
  IF(AL$4&gt;$P9,"-",
   CHOOSE(MATCH($H$3,リスト!$AE$3:$AE$5,0),
    ROUNDUP(
      AL9*IF(AL9*$I9&lt;=$L9,$J9,$I9)*
      IF($P9=1,
         $S9/12,
         IF(AL$4=1,
            $T9/12,
            IF(AL$4=$P9,
               $U9/12,
               1
      ))),0),
    ROUNDDOWN(
      AL9*IF(AL9*$I9&lt;=$L9,$J9,$I9)*
      IF($P9=1,
         $S9/12,
         IF(AL$4=1,
            $T9/12,
            IF(AL$4=$P9,
               $U9/12,
               1
      ))),0),
    ROUND(
      AL9*IF(AL9*$I9&lt;=$L9,$J9,$I9)*
      IF($P9=1,
         $S9/12,
         IF(AL$4=1,
            $T9/12,
            IF(AL$4=$P9,
               $U9/12,
               1
      ))),0)
))))</f>
        <v>-</v>
      </c>
      <c r="AN9" s="56" t="str">
        <f ca="1">IF($H9=リスト!$AA$4,"-",
   IF($C9="-","-",
     IF(AN$4&gt;$P9,"-",
       IF(AN$4=1,$E9,OFFSET(AN9,0,-2)-OFFSET(AN9,0,-1)
))))</f>
        <v>-</v>
      </c>
      <c r="AO9" s="57" t="str">
        <f>IF($H9=リスト!$AA$4,"-",
 IF($C9="-","-",
  IF(AN$4&gt;$P9,"-",
   CHOOSE(MATCH($H$3,リスト!$AE$3:$AE$5,0),
    ROUNDUP(
      AN9*IF(AN9*$I9&lt;=$L9,$J9,$I9)*
      IF($P9=1,
         $S9/12,
         IF(AN$4=1,
            $T9/12,
            IF(AN$4=$P9,
               $U9/12,
               1
      ))),0),
    ROUNDDOWN(
      AN9*IF(AN9*$I9&lt;=$L9,$J9,$I9)*
      IF($P9=1,
         $S9/12,
         IF(AN$4=1,
            $T9/12,
            IF(AN$4=$P9,
               $U9/12,
               1
      ))),0),
    ROUND(
      AN9*IF(AN9*$I9&lt;=$L9,$J9,$I9)*
      IF($P9=1,
         $S9/12,
         IF(AN$4=1,
            $T9/12,
            IF(AN$4=$P9,
               $U9/12,
               1
      ))),0)
))))</f>
        <v>-</v>
      </c>
      <c r="AP9" s="56" t="str">
        <f ca="1">IF($H9=リスト!$AA$4,"-",
   IF($C9="-","-",
     IF(AP$4&gt;$P9,"-",
       IF(AP$4=1,$E9,OFFSET(AP9,0,-2)-OFFSET(AP9,0,-1)
))))</f>
        <v>-</v>
      </c>
      <c r="AQ9" s="57" t="str">
        <f>IF($H9=リスト!$AA$4,"-",
 IF($C9="-","-",
  IF(AP$4&gt;$P9,"-",
   CHOOSE(MATCH($H$3,リスト!$AE$3:$AE$5,0),
    ROUNDUP(
      AP9*IF(AP9*$I9&lt;=$L9,$J9,$I9)*
      IF($P9=1,
         $S9/12,
         IF(AP$4=1,
            $T9/12,
            IF(AP$4=$P9,
               $U9/12,
               1
      ))),0),
    ROUNDDOWN(
      AP9*IF(AP9*$I9&lt;=$L9,$J9,$I9)*
      IF($P9=1,
         $S9/12,
         IF(AP$4=1,
            $T9/12,
            IF(AP$4=$P9,
               $U9/12,
               1
      ))),0),
    ROUND(
      AP9*IF(AP9*$I9&lt;=$L9,$J9,$I9)*
      IF($P9=1,
         $S9/12,
         IF(AP$4=1,
            $T9/12,
            IF(AP$4=$P9,
               $U9/12,
               1
      ))),0)
))))</f>
        <v>-</v>
      </c>
      <c r="AR9" s="56" t="str">
        <f ca="1">IF($H9=リスト!$AA$4,"-",
   IF($C9="-","-",
     IF(AR$4&gt;$P9,"-",
       IF(AR$4=1,$E9,OFFSET(AR9,0,-2)-OFFSET(AR9,0,-1)
))))</f>
        <v>-</v>
      </c>
      <c r="AS9" s="57" t="str">
        <f>IF($H9=リスト!$AA$4,"-",
 IF($C9="-","-",
  IF(AR$4&gt;$P9,"-",
   CHOOSE(MATCH($H$3,リスト!$AE$3:$AE$5,0),
    ROUNDUP(
      AR9*IF(AR9*$I9&lt;=$L9,$J9,$I9)*
      IF($P9=1,
         $S9/12,
         IF(AR$4=1,
            $T9/12,
            IF(AR$4=$P9,
               $U9/12,
               1
      ))),0),
    ROUNDDOWN(
      AR9*IF(AR9*$I9&lt;=$L9,$J9,$I9)*
      IF($P9=1,
         $S9/12,
         IF(AR$4=1,
            $T9/12,
            IF(AR$4=$P9,
               $U9/12,
               1
      ))),0),
    ROUND(
      AR9*IF(AR9*$I9&lt;=$L9,$J9,$I9)*
      IF($P9=1,
         $S9/12,
         IF(AR$4=1,
            $T9/12,
            IF(AR$4=$P9,
               $U9/12,
               1
      ))),0)
))))</f>
        <v>-</v>
      </c>
      <c r="AT9" s="56" t="str">
        <f ca="1">IF($H9=リスト!$AA$4,"-",
   IF($C9="-","-",
     IF(AT$4&gt;$P9,"-",
       IF(AT$4=1,$E9,OFFSET(AT9,0,-2)-OFFSET(AT9,0,-1)
))))</f>
        <v>-</v>
      </c>
      <c r="AU9" s="57" t="str">
        <f>IF($H9=リスト!$AA$4,"-",
 IF($C9="-","-",
  IF(AT$4&gt;$P9,"-",
   CHOOSE(MATCH($H$3,リスト!$AE$3:$AE$5,0),
    ROUNDUP(
      AT9*IF(AT9*$I9&lt;=$L9,$J9,$I9)*
      IF($P9=1,
         $S9/12,
         IF(AT$4=1,
            $T9/12,
            IF(AT$4=$P9,
               $U9/12,
               1
      ))),0),
    ROUNDDOWN(
      AT9*IF(AT9*$I9&lt;=$L9,$J9,$I9)*
      IF($P9=1,
         $S9/12,
         IF(AT$4=1,
            $T9/12,
            IF(AT$4=$P9,
               $U9/12,
               1
      ))),0),
    ROUND(
      AT9*IF(AT9*$I9&lt;=$L9,$J9,$I9)*
      IF($P9=1,
         $S9/12,
         IF(AT$4=1,
            $T9/12,
            IF(AT$4=$P9,
               $U9/12,
               1
      ))),0)
))))</f>
        <v>-</v>
      </c>
      <c r="AV9" s="56" t="str">
        <f ca="1">IF($H9=リスト!$AA$4,"-",
   IF($C9="-","-",
     IF(AV$4&gt;$P9,"-",
       IF(AV$4=1,$E9,OFFSET(AV9,0,-2)-OFFSET(AV9,0,-1)
))))</f>
        <v>-</v>
      </c>
      <c r="AW9" s="57" t="str">
        <f>IF($H9=リスト!$AA$4,"-",
 IF($C9="-","-",
  IF(AV$4&gt;$P9,"-",
   CHOOSE(MATCH($H$3,リスト!$AE$3:$AE$5,0),
    ROUNDUP(
      AV9*IF(AV9*$I9&lt;=$L9,$J9,$I9)*
      IF($P9=1,
         $S9/12,
         IF(AV$4=1,
            $T9/12,
            IF(AV$4=$P9,
               $U9/12,
               1
      ))),0),
    ROUNDDOWN(
      AV9*IF(AV9*$I9&lt;=$L9,$J9,$I9)*
      IF($P9=1,
         $S9/12,
         IF(AV$4=1,
            $T9/12,
            IF(AV$4=$P9,
               $U9/12,
               1
      ))),0),
    ROUND(
      AV9*IF(AV9*$I9&lt;=$L9,$J9,$I9)*
      IF($P9=1,
         $S9/12,
         IF(AV$4=1,
            $T9/12,
            IF(AV$4=$P9,
               $U9/12,
               1
      ))),0)
))))</f>
        <v>-</v>
      </c>
      <c r="AX9" s="56" t="str">
        <f ca="1">IF($H9=リスト!$AA$4,"-",
   IF($C9="-","-",
     IF(AX$4&gt;$P9,"-",
       IF(AX$4=1,$E9,OFFSET(AX9,0,-2)-OFFSET(AX9,0,-1)
))))</f>
        <v>-</v>
      </c>
      <c r="AY9" s="57" t="str">
        <f>IF($H9=リスト!$AA$4,"-",
 IF($C9="-","-",
  IF(AX$4&gt;$P9,"-",
   CHOOSE(MATCH($H$3,リスト!$AE$3:$AE$5,0),
    ROUNDUP(
      AX9*IF(AX9*$I9&lt;=$L9,$J9,$I9)*
      IF($P9=1,
         $S9/12,
         IF(AX$4=1,
            $T9/12,
            IF(AX$4=$P9,
               $U9/12,
               1
      ))),0),
    ROUNDDOWN(
      AX9*IF(AX9*$I9&lt;=$L9,$J9,$I9)*
      IF($P9=1,
         $S9/12,
         IF(AX$4=1,
            $T9/12,
            IF(AX$4=$P9,
               $U9/12,
               1
      ))),0),
    ROUND(
      AX9*IF(AX9*$I9&lt;=$L9,$J9,$I9)*
      IF($P9=1,
         $S9/12,
         IF(AX$4=1,
            $T9/12,
            IF(AX$4=$P9,
               $U9/12,
               1
      ))),0)
))))</f>
        <v>-</v>
      </c>
      <c r="AZ9" s="56" t="str">
        <f ca="1">IF($H9=リスト!$AA$4,"-",
   IF($C9="-","-",
     IF(AZ$4&gt;$P9,"-",
       IF(AZ$4=1,$E9,OFFSET(AZ9,0,-2)-OFFSET(AZ9,0,-1)
))))</f>
        <v>-</v>
      </c>
      <c r="BA9" s="57" t="str">
        <f>IF($H9=リスト!$AA$4,"-",
 IF($C9="-","-",
  IF(AZ$4&gt;$P9,"-",
   CHOOSE(MATCH($H$3,リスト!$AE$3:$AE$5,0),
    ROUNDUP(
      AZ9*IF(AZ9*$I9&lt;=$L9,$J9,$I9)*
      IF($P9=1,
         $S9/12,
         IF(AZ$4=1,
            $T9/12,
            IF(AZ$4=$P9,
               $U9/12,
               1
      ))),0),
    ROUNDDOWN(
      AZ9*IF(AZ9*$I9&lt;=$L9,$J9,$I9)*
      IF($P9=1,
         $S9/12,
         IF(AZ$4=1,
            $T9/12,
            IF(AZ$4=$P9,
               $U9/12,
               1
      ))),0),
    ROUND(
      AZ9*IF(AZ9*$I9&lt;=$L9,$J9,$I9)*
      IF($P9=1,
         $S9/12,
         IF(AZ$4=1,
            $T9/12,
            IF(AZ$4=$P9,
               $U9/12,
               1
      ))),0)
))))</f>
        <v>-</v>
      </c>
      <c r="BB9" s="56" t="str">
        <f ca="1">IF($H9=リスト!$AA$4,"-",
   IF($C9="-","-",
     IF(BB$4&gt;$P9,"-",
       IF(BB$4=1,$E9,OFFSET(BB9,0,-2)-OFFSET(BB9,0,-1)
))))</f>
        <v>-</v>
      </c>
      <c r="BC9" s="57" t="str">
        <f>IF($H9=リスト!$AA$4,"-",
 IF($C9="-","-",
  IF(BB$4&gt;$P9,"-",
   CHOOSE(MATCH($H$3,リスト!$AE$3:$AE$5,0),
    ROUNDUP(
      BB9*IF(BB9*$I9&lt;=$L9,$J9,$I9)*
      IF($P9=1,
         $S9/12,
         IF(BB$4=1,
            $T9/12,
            IF(BB$4=$P9,
               $U9/12,
               1
      ))),0),
    ROUNDDOWN(
      BB9*IF(BB9*$I9&lt;=$L9,$J9,$I9)*
      IF($P9=1,
         $S9/12,
         IF(BB$4=1,
            $T9/12,
            IF(BB$4=$P9,
               $U9/12,
               1
      ))),0),
    ROUND(
      BB9*IF(BB9*$I9&lt;=$L9,$J9,$I9)*
      IF($P9=1,
         $S9/12,
         IF(BB$4=1,
            $T9/12,
            IF(BB$4=$P9,
               $U9/12,
               1
      ))),0)
))))</f>
        <v>-</v>
      </c>
      <c r="BD9" s="56" t="str">
        <f ca="1">IF($H9=リスト!$AA$4,"-",
   IF($C9="-","-",
     IF(BD$4&gt;$P9,"-",
       IF(BD$4=1,$E9,OFFSET(BD9,0,-2)-OFFSET(BD9,0,-1)
))))</f>
        <v>-</v>
      </c>
      <c r="BE9" s="57" t="str">
        <f>IF($H9=リスト!$AA$4,"-",
 IF($C9="-","-",
  IF(BD$4&gt;$P9,"-",
   CHOOSE(MATCH($H$3,リスト!$AE$3:$AE$5,0),
    ROUNDUP(
      BD9*IF(BD9*$I9&lt;=$L9,$J9,$I9)*
      IF($P9=1,
         $S9/12,
         IF(BD$4=1,
            $T9/12,
            IF(BD$4=$P9,
               $U9/12,
               1
      ))),0),
    ROUNDDOWN(
      BD9*IF(BD9*$I9&lt;=$L9,$J9,$I9)*
      IF($P9=1,
         $S9/12,
         IF(BD$4=1,
            $T9/12,
            IF(BD$4=$P9,
               $U9/12,
               1
      ))),0),
    ROUND(
      BD9*IF(BD9*$I9&lt;=$L9,$J9,$I9)*
      IF($P9=1,
         $S9/12,
         IF(BD$4=1,
            $T9/12,
            IF(BD$4=$P9,
               $U9/12,
               1
      ))),0)
))))</f>
        <v>-</v>
      </c>
      <c r="BF9" s="56" t="str">
        <f ca="1">IF($H9=リスト!$AA$4,"-",
   IF($C9="-","-",
     IF(BF$4&gt;$P9,"-",
       IF(BF$4=1,$E9,OFFSET(BF9,0,-2)-OFFSET(BF9,0,-1)
))))</f>
        <v>-</v>
      </c>
      <c r="BG9" s="57" t="str">
        <f>IF($H9=リスト!$AA$4,"-",
 IF($C9="-","-",
  IF(BF$4&gt;$P9,"-",
   CHOOSE(MATCH($H$3,リスト!$AE$3:$AE$5,0),
    ROUNDUP(
      BF9*IF(BF9*$I9&lt;=$L9,$J9,$I9)*
      IF($P9=1,
         $S9/12,
         IF(BF$4=1,
            $T9/12,
            IF(BF$4=$P9,
               $U9/12,
               1
      ))),0),
    ROUNDDOWN(
      BF9*IF(BF9*$I9&lt;=$L9,$J9,$I9)*
      IF($P9=1,
         $S9/12,
         IF(BF$4=1,
            $T9/12,
            IF(BF$4=$P9,
               $U9/12,
               1
      ))),0),
    ROUND(
      BF9*IF(BF9*$I9&lt;=$L9,$J9,$I9)*
      IF($P9=1,
         $S9/12,
         IF(BF$4=1,
            $T9/12,
            IF(BF$4=$P9,
               $U9/12,
               1
      ))),0)
))))</f>
        <v>-</v>
      </c>
      <c r="BH9" s="56" t="str">
        <f ca="1">IF($H9=リスト!$AA$4,"-",
   IF($C9="-","-",
     IF(BH$4&gt;$P9,"-",
       IF(BH$4=1,$E9,OFFSET(BH9,0,-2)-OFFSET(BH9,0,-1)
))))</f>
        <v>-</v>
      </c>
      <c r="BI9" s="57" t="str">
        <f>IF($H9=リスト!$AA$4,"-",
 IF($C9="-","-",
  IF(BH$4&gt;$P9,"-",
   CHOOSE(MATCH($H$3,リスト!$AE$3:$AE$5,0),
    ROUNDUP(
      BH9*IF(BH9*$I9&lt;=$L9,$J9,$I9)*
      IF($P9=1,
         $S9/12,
         IF(BH$4=1,
            $T9/12,
            IF(BH$4=$P9,
               $U9/12,
               1
      ))),0),
    ROUNDDOWN(
      BH9*IF(BH9*$I9&lt;=$L9,$J9,$I9)*
      IF($P9=1,
         $S9/12,
         IF(BH$4=1,
            $T9/12,
            IF(BH$4=$P9,
               $U9/12,
               1
      ))),0),
    ROUND(
      BH9*IF(BH9*$I9&lt;=$L9,$J9,$I9)*
      IF($P9=1,
         $S9/12,
         IF(BH$4=1,
            $T9/12,
            IF(BH$4=$P9,
               $U9/12,
               1
      ))),0)
))))</f>
        <v>-</v>
      </c>
      <c r="BJ9" s="56" t="str">
        <f ca="1">IF($H9=リスト!$AA$4,"-",
   IF($C9="-","-",
     IF(BJ$4&gt;$P9,"-",
       IF(BJ$4=1,$E9,OFFSET(BJ9,0,-2)-OFFSET(BJ9,0,-1)
))))</f>
        <v>-</v>
      </c>
      <c r="BK9" s="57" t="str">
        <f>IF($H9=リスト!$AA$4,"-",
 IF($C9="-","-",
  IF(BJ$4&gt;$P9,"-",
   CHOOSE(MATCH($H$3,リスト!$AE$3:$AE$5,0),
    ROUNDUP(
      BJ9*IF(BJ9*$I9&lt;=$L9,$J9,$I9)*
      IF($P9=1,
         $S9/12,
         IF(BJ$4=1,
            $T9/12,
            IF(BJ$4=$P9,
               $U9/12,
               1
      ))),0),
    ROUNDDOWN(
      BJ9*IF(BJ9*$I9&lt;=$L9,$J9,$I9)*
      IF($P9=1,
         $S9/12,
         IF(BJ$4=1,
            $T9/12,
            IF(BJ$4=$P9,
               $U9/12,
               1
      ))),0),
    ROUND(
      BJ9*IF(BJ9*$I9&lt;=$L9,$J9,$I9)*
      IF($P9=1,
         $S9/12,
         IF(BJ$4=1,
            $T9/12,
            IF(BJ$4=$P9,
               $U9/12,
               1
      ))),0)
))))</f>
        <v>-</v>
      </c>
      <c r="BL9" s="56" t="str">
        <f ca="1">IF($H9=リスト!$AA$4,"-",
   IF($C9="-","-",
     IF(BL$4&gt;$P9,"-",
       IF(BL$4=1,$E9,OFFSET(BL9,0,-2)-OFFSET(BL9,0,-1)
))))</f>
        <v>-</v>
      </c>
      <c r="BM9" s="57" t="str">
        <f>IF($H9=リスト!$AA$4,"-",
 IF($C9="-","-",
  IF(BL$4&gt;$P9,"-",
   CHOOSE(MATCH($H$3,リスト!$AE$3:$AE$5,0),
    ROUNDUP(
      BL9*IF(BL9*$I9&lt;=$L9,$J9,$I9)*
      IF($P9=1,
         $S9/12,
         IF(BL$4=1,
            $T9/12,
            IF(BL$4=$P9,
               $U9/12,
               1
      ))),0),
    ROUNDDOWN(
      BL9*IF(BL9*$I9&lt;=$L9,$J9,$I9)*
      IF($P9=1,
         $S9/12,
         IF(BL$4=1,
            $T9/12,
            IF(BL$4=$P9,
               $U9/12,
               1
      ))),0),
    ROUND(
      BL9*IF(BL9*$I9&lt;=$L9,$J9,$I9)*
      IF($P9=1,
         $S9/12,
         IF(BL$4=1,
            $T9/12,
            IF(BL$4=$P9,
               $U9/12,
               1
      ))),0)
))))</f>
        <v>-</v>
      </c>
      <c r="BN9" s="56" t="str">
        <f ca="1">IF($H9=リスト!$AA$4,"-",
   IF($C9="-","-",
     IF(BN$4&gt;$P9,"-",
       IF(BN$4=1,$E9,OFFSET(BN9,0,-2)-OFFSET(BN9,0,-1)
))))</f>
        <v>-</v>
      </c>
      <c r="BO9" s="57" t="str">
        <f>IF($H9=リスト!$AA$4,"-",
 IF($C9="-","-",
  IF(BN$4&gt;$P9,"-",
   CHOOSE(MATCH($H$3,リスト!$AE$3:$AE$5,0),
    ROUNDUP(
      BN9*IF(BN9*$I9&lt;=$L9,$J9,$I9)*
      IF($P9=1,
         $S9/12,
         IF(BN$4=1,
            $T9/12,
            IF(BN$4=$P9,
               $U9/12,
               1
      ))),0),
    ROUNDDOWN(
      BN9*IF(BN9*$I9&lt;=$L9,$J9,$I9)*
      IF($P9=1,
         $S9/12,
         IF(BN$4=1,
            $T9/12,
            IF(BN$4=$P9,
               $U9/12,
               1
      ))),0),
    ROUND(
      BN9*IF(BN9*$I9&lt;=$L9,$J9,$I9)*
      IF($P9=1,
         $S9/12,
         IF(BN$4=1,
            $T9/12,
            IF(BN$4=$P9,
               $U9/12,
               1
      ))),0)
))))</f>
        <v>-</v>
      </c>
      <c r="BP9" s="56" t="str">
        <f ca="1">IF($H9=リスト!$AA$4,"-",
   IF($C9="-","-",
     IF(BP$4&gt;$P9,"-",
       IF(BP$4=1,$E9,OFFSET(BP9,0,-2)-OFFSET(BP9,0,-1)
))))</f>
        <v>-</v>
      </c>
      <c r="BQ9" s="57" t="str">
        <f>IF($H9=リスト!$AA$4,"-",
 IF($C9="-","-",
  IF(BP$4&gt;$P9,"-",
   CHOOSE(MATCH($H$3,リスト!$AE$3:$AE$5,0),
    ROUNDUP(
      BP9*IF(BP9*$I9&lt;=$L9,$J9,$I9)*
      IF($P9=1,
         $S9/12,
         IF(BP$4=1,
            $T9/12,
            IF(BP$4=$P9,
               $U9/12,
               1
      ))),0),
    ROUNDDOWN(
      BP9*IF(BP9*$I9&lt;=$L9,$J9,$I9)*
      IF($P9=1,
         $S9/12,
         IF(BP$4=1,
            $T9/12,
            IF(BP$4=$P9,
               $U9/12,
               1
      ))),0),
    ROUND(
      BP9*IF(BP9*$I9&lt;=$L9,$J9,$I9)*
      IF($P9=1,
         $S9/12,
         IF(BP$4=1,
            $T9/12,
            IF(BP$4=$P9,
               $U9/12,
               1
      ))),0)
))))</f>
        <v>-</v>
      </c>
      <c r="BR9" s="56" t="str">
        <f ca="1">IF($H9=リスト!$AA$4,"-",
   IF($C9="-","-",
     IF(BR$4&gt;$P9,"-",
       IF(BR$4=1,$E9,OFFSET(BR9,0,-2)-OFFSET(BR9,0,-1)
))))</f>
        <v>-</v>
      </c>
      <c r="BS9" s="57" t="str">
        <f>IF($H9=リスト!$AA$4,"-",
 IF($C9="-","-",
  IF(BR$4&gt;$P9,"-",
   CHOOSE(MATCH($H$3,リスト!$AE$3:$AE$5,0),
    ROUNDUP(
      BR9*IF(BR9*$I9&lt;=$L9,$J9,$I9)*
      IF($P9=1,
         $S9/12,
         IF(BR$4=1,
            $T9/12,
            IF(BR$4=$P9,
               $U9/12,
               1
      ))),0),
    ROUNDDOWN(
      BR9*IF(BR9*$I9&lt;=$L9,$J9,$I9)*
      IF($P9=1,
         $S9/12,
         IF(BR$4=1,
            $T9/12,
            IF(BR$4=$P9,
               $U9/12,
               1
      ))),0),
    ROUND(
      BR9*IF(BR9*$I9&lt;=$L9,$J9,$I9)*
      IF($P9=1,
         $S9/12,
         IF(BR$4=1,
            $T9/12,
            IF(BR$4=$P9,
               $U9/12,
               1
      ))),0)
))))</f>
        <v>-</v>
      </c>
      <c r="BT9" s="56" t="str">
        <f ca="1">IF($H9=リスト!$AA$4,"-",
   IF($C9="-","-",
     IF(BT$4&gt;$P9,"-",
       IF(BT$4=1,$E9,OFFSET(BT9,0,-2)-OFFSET(BT9,0,-1)
))))</f>
        <v>-</v>
      </c>
      <c r="BU9" s="57" t="str">
        <f>IF($H9=リスト!$AA$4,"-",
 IF($C9="-","-",
  IF(BT$4&gt;$P9,"-",
   CHOOSE(MATCH($H$3,リスト!$AE$3:$AE$5,0),
    ROUNDUP(
      BT9*IF(BT9*$I9&lt;=$L9,$J9,$I9)*
      IF($P9=1,
         $S9/12,
         IF(BT$4=1,
            $T9/12,
            IF(BT$4=$P9,
               $U9/12,
               1
      ))),0),
    ROUNDDOWN(
      BT9*IF(BT9*$I9&lt;=$L9,$J9,$I9)*
      IF($P9=1,
         $S9/12,
         IF(BT$4=1,
            $T9/12,
            IF(BT$4=$P9,
               $U9/12,
               1
      ))),0),
    ROUND(
      BT9*IF(BT9*$I9&lt;=$L9,$J9,$I9)*
      IF($P9=1,
         $S9/12,
         IF(BT$4=1,
            $T9/12,
            IF(BT$4=$P9,
               $U9/12,
               1
      ))),0)
))))</f>
        <v>-</v>
      </c>
      <c r="BV9" s="56" t="str">
        <f ca="1">IF($H9=リスト!$AA$4,"-",
   IF($C9="-","-",
     IF(BV$4&gt;$P9,"-",
       IF(BV$4=1,$E9,OFFSET(BV9,0,-2)-OFFSET(BV9,0,-1)
))))</f>
        <v>-</v>
      </c>
      <c r="BW9" s="57" t="str">
        <f>IF($H9=リスト!$AA$4,"-",
 IF($C9="-","-",
  IF(BV$4&gt;$P9,"-",
   CHOOSE(MATCH($H$3,リスト!$AE$3:$AE$5,0),
    ROUNDUP(
      BV9*IF(BV9*$I9&lt;=$L9,$J9,$I9)*
      IF($P9=1,
         $S9/12,
         IF(BV$4=1,
            $T9/12,
            IF(BV$4=$P9,
               $U9/12,
               1
      ))),0),
    ROUNDDOWN(
      BV9*IF(BV9*$I9&lt;=$L9,$J9,$I9)*
      IF($P9=1,
         $S9/12,
         IF(BV$4=1,
            $T9/12,
            IF(BV$4=$P9,
               $U9/12,
               1
      ))),0),
    ROUND(
      BV9*IF(BV9*$I9&lt;=$L9,$J9,$I9)*
      IF($P9=1,
         $S9/12,
         IF(BV$4=1,
            $T9/12,
            IF(BV$4=$P9,
               $U9/12,
               1
      ))),0)
))))</f>
        <v>-</v>
      </c>
      <c r="BX9" s="56" t="str">
        <f ca="1">IF($H9=リスト!$AA$4,"-",
   IF($C9="-","-",
     IF(BX$4&gt;$P9,"-",
       IF(BX$4=1,$E9,OFFSET(BX9,0,-2)-OFFSET(BX9,0,-1)
))))</f>
        <v>-</v>
      </c>
      <c r="BY9" s="57" t="str">
        <f>IF($H9=リスト!$AA$4,"-",
 IF($C9="-","-",
  IF(BX$4&gt;$P9,"-",
   CHOOSE(MATCH($H$3,リスト!$AE$3:$AE$5,0),
    ROUNDUP(
      BX9*IF(BX9*$I9&lt;=$L9,$J9,$I9)*
      IF($P9=1,
         $S9/12,
         IF(BX$4=1,
            $T9/12,
            IF(BX$4=$P9,
               $U9/12,
               1
      ))),0),
    ROUNDDOWN(
      BX9*IF(BX9*$I9&lt;=$L9,$J9,$I9)*
      IF($P9=1,
         $S9/12,
         IF(BX$4=1,
            $T9/12,
            IF(BX$4=$P9,
               $U9/12,
               1
      ))),0),
    ROUND(
      BX9*IF(BX9*$I9&lt;=$L9,$J9,$I9)*
      IF($P9=1,
         $S9/12,
         IF(BX$4=1,
            $T9/12,
            IF(BX$4=$P9,
               $U9/12,
               1
      ))),0)
))))</f>
        <v>-</v>
      </c>
      <c r="BZ9" s="56" t="str">
        <f ca="1">IF($H9=リスト!$AA$4,"-",
   IF($C9="-","-",
     IF(BZ$4&gt;$P9,"-",
       IF(BZ$4=1,$E9,OFFSET(BZ9,0,-2)-OFFSET(BZ9,0,-1)
))))</f>
        <v>-</v>
      </c>
      <c r="CA9" s="57" t="str">
        <f>IF($H9=リスト!$AA$4,"-",
 IF($C9="-","-",
  IF(BZ$4&gt;$P9,"-",
   CHOOSE(MATCH($H$3,リスト!$AE$3:$AE$5,0),
    ROUNDUP(
      BZ9*IF(BZ9*$I9&lt;=$L9,$J9,$I9)*
      IF($P9=1,
         $S9/12,
         IF(BZ$4=1,
            $T9/12,
            IF(BZ$4=$P9,
               $U9/12,
               1
      ))),0),
    ROUNDDOWN(
      BZ9*IF(BZ9*$I9&lt;=$L9,$J9,$I9)*
      IF($P9=1,
         $S9/12,
         IF(BZ$4=1,
            $T9/12,
            IF(BZ$4=$P9,
               $U9/12,
               1
      ))),0),
    ROUND(
      BZ9*IF(BZ9*$I9&lt;=$L9,$J9,$I9)*
      IF($P9=1,
         $S9/12,
         IF(BZ$4=1,
            $T9/12,
            IF(BZ$4=$P9,
               $U9/12,
               1
      ))),0)
))))</f>
        <v>-</v>
      </c>
      <c r="CB9" s="56" t="str">
        <f ca="1">IF($H9=リスト!$AA$4,"-",
   IF($C9="-","-",
     IF(CB$4&gt;$P9,"-",
       IF(CB$4=1,$E9,OFFSET(CB9,0,-2)-OFFSET(CB9,0,-1)
))))</f>
        <v>-</v>
      </c>
      <c r="CC9" s="57" t="str">
        <f>IF($H9=リスト!$AA$4,"-",
 IF($C9="-","-",
  IF(CB$4&gt;$P9,"-",
   CHOOSE(MATCH($H$3,リスト!$AE$3:$AE$5,0),
    ROUNDUP(
      CB9*IF(CB9*$I9&lt;=$L9,$J9,$I9)*
      IF($P9=1,
         $S9/12,
         IF(CB$4=1,
            $T9/12,
            IF(CB$4=$P9,
               $U9/12,
               1
      ))),0),
    ROUNDDOWN(
      CB9*IF(CB9*$I9&lt;=$L9,$J9,$I9)*
      IF($P9=1,
         $S9/12,
         IF(CB$4=1,
            $T9/12,
            IF(CB$4=$P9,
               $U9/12,
               1
      ))),0),
    ROUND(
      CB9*IF(CB9*$I9&lt;=$L9,$J9,$I9)*
      IF($P9=1,
         $S9/12,
         IF(CB$4=1,
            $T9/12,
            IF(CB$4=$P9,
               $U9/12,
               1
      ))),0)
))))</f>
        <v>-</v>
      </c>
      <c r="CD9" s="56" t="str">
        <f ca="1">IF($H9=リスト!$AA$4,"-",
   IF($C9="-","-",
     IF(CD$4&gt;$P9,"-",
       IF(CD$4=1,$E9,OFFSET(CD9,0,-2)-OFFSET(CD9,0,-1)
))))</f>
        <v>-</v>
      </c>
      <c r="CE9" s="57" t="str">
        <f>IF($H9=リスト!$AA$4,"-",
 IF($C9="-","-",
  IF(CD$4&gt;$P9,"-",
   CHOOSE(MATCH($H$3,リスト!$AE$3:$AE$5,0),
    ROUNDUP(
      CD9*IF(CD9*$I9&lt;=$L9,$J9,$I9)*
      IF($P9=1,
         $S9/12,
         IF(CD$4=1,
            $T9/12,
            IF(CD$4=$P9,
               $U9/12,
               1
      ))),0),
    ROUNDDOWN(
      CD9*IF(CD9*$I9&lt;=$L9,$J9,$I9)*
      IF($P9=1,
         $S9/12,
         IF(CD$4=1,
            $T9/12,
            IF(CD$4=$P9,
               $U9/12,
               1
      ))),0),
    ROUND(
      CD9*IF(CD9*$I9&lt;=$L9,$J9,$I9)*
      IF($P9=1,
         $S9/12,
         IF(CD$4=1,
            $T9/12,
            IF(CD$4=$P9,
               $U9/12,
               1
      ))),0)
))))</f>
        <v>-</v>
      </c>
      <c r="CF9" s="56" t="str">
        <f ca="1">IF($H9=リスト!$AA$4,"-",
   IF($C9="-","-",
     IF(CF$4&gt;$P9,"-",
       IF(CF$4=1,$E9,OFFSET(CF9,0,-2)-OFFSET(CF9,0,-1)
))))</f>
        <v>-</v>
      </c>
      <c r="CG9" s="57" t="str">
        <f>IF($H9=リスト!$AA$4,"-",
 IF($C9="-","-",
  IF(CF$4&gt;$P9,"-",
   CHOOSE(MATCH($H$3,リスト!$AE$3:$AE$5,0),
    ROUNDUP(
      CF9*IF(CF9*$I9&lt;=$L9,$J9,$I9)*
      IF($P9=1,
         $S9/12,
         IF(CF$4=1,
            $T9/12,
            IF(CF$4=$P9,
               $U9/12,
               1
      ))),0),
    ROUNDDOWN(
      CF9*IF(CF9*$I9&lt;=$L9,$J9,$I9)*
      IF($P9=1,
         $S9/12,
         IF(CF$4=1,
            $T9/12,
            IF(CF$4=$P9,
               $U9/12,
               1
      ))),0),
    ROUND(
      CF9*IF(CF9*$I9&lt;=$L9,$J9,$I9)*
      IF($P9=1,
         $S9/12,
         IF(CF$4=1,
            $T9/12,
            IF(CF$4=$P9,
               $U9/12,
               1
      ))),0)
))))</f>
        <v>-</v>
      </c>
      <c r="CH9" s="56" t="str">
        <f ca="1">IF($H9=リスト!$AA$4,"-",
   IF($C9="-","-",
     IF(CH$4&gt;$P9,"-",
       IF(CH$4=1,$E9,OFFSET(CH9,0,-2)-OFFSET(CH9,0,-1)
))))</f>
        <v>-</v>
      </c>
      <c r="CI9" s="57" t="str">
        <f>IF($H9=リスト!$AA$4,"-",
 IF($C9="-","-",
  IF(CH$4&gt;$P9,"-",
   CHOOSE(MATCH($H$3,リスト!$AE$3:$AE$5,0),
    ROUNDUP(
      CH9*IF(CH9*$I9&lt;=$L9,$J9,$I9)*
      IF($P9=1,
         $S9/12,
         IF(CH$4=1,
            $T9/12,
            IF(CH$4=$P9,
               $U9/12,
               1
      ))),0),
    ROUNDDOWN(
      CH9*IF(CH9*$I9&lt;=$L9,$J9,$I9)*
      IF($P9=1,
         $S9/12,
         IF(CH$4=1,
            $T9/12,
            IF(CH$4=$P9,
               $U9/12,
               1
      ))),0),
    ROUND(
      CH9*IF(CH9*$I9&lt;=$L9,$J9,$I9)*
      IF($P9=1,
         $S9/12,
         IF(CH$4=1,
            $T9/12,
            IF(CH$4=$P9,
               $U9/12,
               1
      ))),0)
))))</f>
        <v>-</v>
      </c>
      <c r="CJ9" s="56" t="str">
        <f ca="1">IF($H9=リスト!$AA$4,"-",
   IF($C9="-","-",
     IF(CJ$4&gt;$P9,"-",
       IF(CJ$4=1,$E9,OFFSET(CJ9,0,-2)-OFFSET(CJ9,0,-1)
))))</f>
        <v>-</v>
      </c>
      <c r="CK9" s="57" t="str">
        <f>IF($H9=リスト!$AA$4,"-",
 IF($C9="-","-",
  IF(CJ$4&gt;$P9,"-",
   CHOOSE(MATCH($H$3,リスト!$AE$3:$AE$5,0),
    ROUNDUP(
      CJ9*IF(CJ9*$I9&lt;=$L9,$J9,$I9)*
      IF($P9=1,
         $S9/12,
         IF(CJ$4=1,
            $T9/12,
            IF(CJ$4=$P9,
               $U9/12,
               1
      ))),0),
    ROUNDDOWN(
      CJ9*IF(CJ9*$I9&lt;=$L9,$J9,$I9)*
      IF($P9=1,
         $S9/12,
         IF(CJ$4=1,
            $T9/12,
            IF(CJ$4=$P9,
               $U9/12,
               1
      ))),0),
    ROUND(
      CJ9*IF(CJ9*$I9&lt;=$L9,$J9,$I9)*
      IF($P9=1,
         $S9/12,
         IF(CJ$4=1,
            $T9/12,
            IF(CJ$4=$P9,
               $U9/12,
               1
      ))),0)
))))</f>
        <v>-</v>
      </c>
      <c r="CL9" s="56" t="str">
        <f ca="1">IF($H9=リスト!$AA$4,"-",
   IF($C9="-","-",
     IF(CL$4&gt;$P9,"-",
       IF(CL$4=1,$E9,OFFSET(CL9,0,-2)-OFFSET(CL9,0,-1)
))))</f>
        <v>-</v>
      </c>
      <c r="CM9" s="57" t="str">
        <f>IF($H9=リスト!$AA$4,"-",
 IF($C9="-","-",
  IF(CL$4&gt;$P9,"-",
   CHOOSE(MATCH($H$3,リスト!$AE$3:$AE$5,0),
    ROUNDUP(
      CL9*IF(CL9*$I9&lt;=$L9,$J9,$I9)*
      IF($P9=1,
         $S9/12,
         IF(CL$4=1,
            $T9/12,
            IF(CL$4=$P9,
               $U9/12,
               1
      ))),0),
    ROUNDDOWN(
      CL9*IF(CL9*$I9&lt;=$L9,$J9,$I9)*
      IF($P9=1,
         $S9/12,
         IF(CL$4=1,
            $T9/12,
            IF(CL$4=$P9,
               $U9/12,
               1
      ))),0),
    ROUND(
      CL9*IF(CL9*$I9&lt;=$L9,$J9,$I9)*
      IF($P9=1,
         $S9/12,
         IF(CL$4=1,
            $T9/12,
            IF(CL$4=$P9,
               $U9/12,
               1
      ))),0)
))))</f>
        <v>-</v>
      </c>
      <c r="CN9" s="56" t="str">
        <f ca="1">IF($H9=リスト!$AA$4,"-",
   IF($C9="-","-",
     IF(CN$4&gt;$P9,"-",
       IF(CN$4=1,$E9,OFFSET(CN9,0,-2)-OFFSET(CN9,0,-1)
))))</f>
        <v>-</v>
      </c>
      <c r="CO9" s="57" t="str">
        <f>IF($H9=リスト!$AA$4,"-",
 IF($C9="-","-",
  IF(CN$4&gt;$P9,"-",
   CHOOSE(MATCH($H$3,リスト!$AE$3:$AE$5,0),
    ROUNDUP(
      CN9*IF(CN9*$I9&lt;=$L9,$J9,$I9)*
      IF($P9=1,
         $S9/12,
         IF(CN$4=1,
            $T9/12,
            IF(CN$4=$P9,
               $U9/12,
               1
      ))),0),
    ROUNDDOWN(
      CN9*IF(CN9*$I9&lt;=$L9,$J9,$I9)*
      IF($P9=1,
         $S9/12,
         IF(CN$4=1,
            $T9/12,
            IF(CN$4=$P9,
               $U9/12,
               1
      ))),0),
    ROUND(
      CN9*IF(CN9*$I9&lt;=$L9,$J9,$I9)*
      IF($P9=1,
         $S9/12,
         IF(CN$4=1,
            $T9/12,
            IF(CN$4=$P9,
               $U9/12,
               1
      ))),0)
))))</f>
        <v>-</v>
      </c>
      <c r="CP9" s="56" t="str">
        <f ca="1">IF($H9=リスト!$AA$4,"-",
   IF($C9="-","-",
     IF(CP$4&gt;$P9,"-",
       IF(CP$4=1,$E9,OFFSET(CP9,0,-2)-OFFSET(CP9,0,-1)
))))</f>
        <v>-</v>
      </c>
      <c r="CQ9" s="57" t="str">
        <f>IF($H9=リスト!$AA$4,"-",
 IF($C9="-","-",
  IF(CP$4&gt;$P9,"-",
   CHOOSE(MATCH($H$3,リスト!$AE$3:$AE$5,0),
    ROUNDUP(
      CP9*IF(CP9*$I9&lt;=$L9,$J9,$I9)*
      IF($P9=1,
         $S9/12,
         IF(CP$4=1,
            $T9/12,
            IF(CP$4=$P9,
               $U9/12,
               1
      ))),0),
    ROUNDDOWN(
      CP9*IF(CP9*$I9&lt;=$L9,$J9,$I9)*
      IF($P9=1,
         $S9/12,
         IF(CP$4=1,
            $T9/12,
            IF(CP$4=$P9,
               $U9/12,
               1
      ))),0),
    ROUND(
      CP9*IF(CP9*$I9&lt;=$L9,$J9,$I9)*
      IF($P9=1,
         $S9/12,
         IF(CP$4=1,
            $T9/12,
            IF(CP$4=$P9,
               $U9/12,
               1
      ))),0)
))))</f>
        <v>-</v>
      </c>
      <c r="CR9" s="56" t="str">
        <f ca="1">IF($H9=リスト!$AA$4,"-",
   IF($C9="-","-",
     IF(CR$4&gt;$P9,"-",
       IF(CR$4=1,$E9,OFFSET(CR9,0,-2)-OFFSET(CR9,0,-1)
))))</f>
        <v>-</v>
      </c>
      <c r="CS9" s="57" t="str">
        <f>IF($H9=リスト!$AA$4,"-",
 IF($C9="-","-",
  IF(CR$4&gt;$P9,"-",
   CHOOSE(MATCH($H$3,リスト!$AE$3:$AE$5,0),
    ROUNDUP(
      CR9*IF(CR9*$I9&lt;=$L9,$J9,$I9)*
      IF($P9=1,
         $S9/12,
         IF(CR$4=1,
            $T9/12,
            IF(CR$4=$P9,
               $U9/12,
               1
      ))),0),
    ROUNDDOWN(
      CR9*IF(CR9*$I9&lt;=$L9,$J9,$I9)*
      IF($P9=1,
         $S9/12,
         IF(CR$4=1,
            $T9/12,
            IF(CR$4=$P9,
               $U9/12,
               1
      ))),0),
    ROUND(
      CR9*IF(CR9*$I9&lt;=$L9,$J9,$I9)*
      IF($P9=1,
         $S9/12,
         IF(CR$4=1,
            $T9/12,
            IF(CR$4=$P9,
               $U9/12,
               1
      ))),0)
))))</f>
        <v>-</v>
      </c>
      <c r="CT9" s="56" t="str">
        <f ca="1">IF($H9=リスト!$AA$4,"-",
   IF($C9="-","-",
     IF(CT$4&gt;$P9,"-",
       IF(CT$4=1,$E9,OFFSET(CT9,0,-2)-OFFSET(CT9,0,-1)
))))</f>
        <v>-</v>
      </c>
      <c r="CU9" s="57" t="str">
        <f>IF($H9=リスト!$AA$4,"-",
 IF($C9="-","-",
  IF(CT$4&gt;$P9,"-",
   CHOOSE(MATCH($H$3,リスト!$AE$3:$AE$5,0),
    ROUNDUP(
      CT9*IF(CT9*$I9&lt;=$L9,$J9,$I9)*
      IF($P9=1,
         $S9/12,
         IF(CT$4=1,
            $T9/12,
            IF(CT$4=$P9,
               $U9/12,
               1
      ))),0),
    ROUNDDOWN(
      CT9*IF(CT9*$I9&lt;=$L9,$J9,$I9)*
      IF($P9=1,
         $S9/12,
         IF(CT$4=1,
            $T9/12,
            IF(CT$4=$P9,
               $U9/12,
               1
      ))),0),
    ROUND(
      CT9*IF(CT9*$I9&lt;=$L9,$J9,$I9)*
      IF($P9=1,
         $S9/12,
         IF(CT$4=1,
            $T9/12,
            IF(CT$4=$P9,
               $U9/12,
               1
      ))),0)
))))</f>
        <v>-</v>
      </c>
      <c r="CV9" s="56" t="str">
        <f ca="1">IF($H9=リスト!$AA$4,"-",
   IF($C9="-","-",
     IF(CV$4&gt;$P9,"-",
       IF(CV$4=1,$E9,OFFSET(CV9,0,-2)-OFFSET(CV9,0,-1)
))))</f>
        <v>-</v>
      </c>
      <c r="CW9" s="57" t="str">
        <f>IF($H9=リスト!$AA$4,"-",
 IF($C9="-","-",
  IF(CV$4&gt;$P9,"-",
   CHOOSE(MATCH($H$3,リスト!$AE$3:$AE$5,0),
    ROUNDUP(
      CV9*IF(CV9*$I9&lt;=$L9,$J9,$I9)*
      IF($P9=1,
         $S9/12,
         IF(CV$4=1,
            $T9/12,
            IF(CV$4=$P9,
               $U9/12,
               1
      ))),0),
    ROUNDDOWN(
      CV9*IF(CV9*$I9&lt;=$L9,$J9,$I9)*
      IF($P9=1,
         $S9/12,
         IF(CV$4=1,
            $T9/12,
            IF(CV$4=$P9,
               $U9/12,
               1
      ))),0),
    ROUND(
      CV9*IF(CV9*$I9&lt;=$L9,$J9,$I9)*
      IF($P9=1,
         $S9/12,
         IF(CV$4=1,
            $T9/12,
            IF(CV$4=$P9,
               $U9/12,
               1
      ))),0)
))))</f>
        <v>-</v>
      </c>
      <c r="CX9" s="56" t="str">
        <f ca="1">IF($H9=リスト!$AA$4,"-",
   IF($C9="-","-",
     IF(CX$4&gt;$P9,"-",
       IF(CX$4=1,$E9,OFFSET(CX9,0,-2)-OFFSET(CX9,0,-1)
))))</f>
        <v>-</v>
      </c>
      <c r="CY9" s="57" t="str">
        <f>IF($H9=リスト!$AA$4,"-",
 IF($C9="-","-",
  IF(CX$4&gt;$P9,"-",
   CHOOSE(MATCH($H$3,リスト!$AE$3:$AE$5,0),
    ROUNDUP(
      CX9*IF(CX9*$I9&lt;=$L9,$J9,$I9)*
      IF($P9=1,
         $S9/12,
         IF(CX$4=1,
            $T9/12,
            IF(CX$4=$P9,
               $U9/12,
               1
      ))),0),
    ROUNDDOWN(
      CX9*IF(CX9*$I9&lt;=$L9,$J9,$I9)*
      IF($P9=1,
         $S9/12,
         IF(CX$4=1,
            $T9/12,
            IF(CX$4=$P9,
               $U9/12,
               1
      ))),0),
    ROUND(
      CX9*IF(CX9*$I9&lt;=$L9,$J9,$I9)*
      IF($P9=1,
         $S9/12,
         IF(CX$4=1,
            $T9/12,
            IF(CX$4=$P9,
               $U9/12,
               1
      ))),0)
))))</f>
        <v>-</v>
      </c>
      <c r="CZ9" s="56" t="str">
        <f ca="1">IF($H9=リスト!$AA$4,"-",
   IF($C9="-","-",
     IF(CZ$4&gt;$P9,"-",
       IF(CZ$4=1,$E9,OFFSET(CZ9,0,-2)-OFFSET(CZ9,0,-1)
))))</f>
        <v>-</v>
      </c>
      <c r="DA9" s="57" t="str">
        <f>IF($H9=リスト!$AA$4,"-",
 IF($C9="-","-",
  IF(CZ$4&gt;$P9,"-",
   CHOOSE(MATCH($H$3,リスト!$AE$3:$AE$5,0),
    ROUNDUP(
      CZ9*IF(CZ9*$I9&lt;=$L9,$J9,$I9)*
      IF($P9=1,
         $S9/12,
         IF(CZ$4=1,
            $T9/12,
            IF(CZ$4=$P9,
               $U9/12,
               1
      ))),0),
    ROUNDDOWN(
      CZ9*IF(CZ9*$I9&lt;=$L9,$J9,$I9)*
      IF($P9=1,
         $S9/12,
         IF(CZ$4=1,
            $T9/12,
            IF(CZ$4=$P9,
               $U9/12,
               1
      ))),0),
    ROUND(
      CZ9*IF(CZ9*$I9&lt;=$L9,$J9,$I9)*
      IF($P9=1,
         $S9/12,
         IF(CZ$4=1,
            $T9/12,
            IF(CZ$4=$P9,
               $U9/12,
               1
      ))),0)
))))</f>
        <v>-</v>
      </c>
      <c r="DB9" s="56" t="str">
        <f ca="1">IF($H9=リスト!$AA$4,"-",
   IF($C9="-","-",
     IF(DB$4&gt;$P9,"-",
       IF(DB$4=1,$E9,OFFSET(DB9,0,-2)-OFFSET(DB9,0,-1)
))))</f>
        <v>-</v>
      </c>
      <c r="DC9" s="57" t="str">
        <f>IF($H9=リスト!$AA$4,"-",
 IF($C9="-","-",
  IF(DB$4&gt;$P9,"-",
   CHOOSE(MATCH($H$3,リスト!$AE$3:$AE$5,0),
    ROUNDUP(
      DB9*IF(DB9*$I9&lt;=$L9,$J9,$I9)*
      IF($P9=1,
         $S9/12,
         IF(DB$4=1,
            $T9/12,
            IF(DB$4=$P9,
               $U9/12,
               1
      ))),0),
    ROUNDDOWN(
      DB9*IF(DB9*$I9&lt;=$L9,$J9,$I9)*
      IF($P9=1,
         $S9/12,
         IF(DB$4=1,
            $T9/12,
            IF(DB$4=$P9,
               $U9/12,
               1
      ))),0),
    ROUND(
      DB9*IF(DB9*$I9&lt;=$L9,$J9,$I9)*
      IF($P9=1,
         $S9/12,
         IF(DB$4=1,
            $T9/12,
            IF(DB$4=$P9,
               $U9/12,
               1
      ))),0)
))))</f>
        <v>-</v>
      </c>
      <c r="DD9" s="56" t="str">
        <f ca="1">IF($H9=リスト!$AA$4,"-",
   IF($C9="-","-",
     IF(DD$4&gt;$P9,"-",
       IF(DD$4=1,$E9,OFFSET(DD9,0,-2)-OFFSET(DD9,0,-1)
))))</f>
        <v>-</v>
      </c>
      <c r="DE9" s="57" t="str">
        <f>IF($H9=リスト!$AA$4,"-",
 IF($C9="-","-",
  IF(DD$4&gt;$P9,"-",
   CHOOSE(MATCH($H$3,リスト!$AE$3:$AE$5,0),
    ROUNDUP(
      DD9*IF(DD9*$I9&lt;=$L9,$J9,$I9)*
      IF($P9=1,
         $S9/12,
         IF(DD$4=1,
            $T9/12,
            IF(DD$4=$P9,
               $U9/12,
               1
      ))),0),
    ROUNDDOWN(
      DD9*IF(DD9*$I9&lt;=$L9,$J9,$I9)*
      IF($P9=1,
         $S9/12,
         IF(DD$4=1,
            $T9/12,
            IF(DD$4=$P9,
               $U9/12,
               1
      ))),0),
    ROUND(
      DD9*IF(DD9*$I9&lt;=$L9,$J9,$I9)*
      IF($P9=1,
         $S9/12,
         IF(DD$4=1,
            $T9/12,
            IF(DD$4=$P9,
               $U9/12,
               1
      ))),0)
))))</f>
        <v>-</v>
      </c>
      <c r="DF9" s="56" t="str">
        <f ca="1">IF($H9=リスト!$AA$4,"-",
   IF($C9="-","-",
     IF(DF$4&gt;$P9,"-",
       IF(DF$4=1,$E9,OFFSET(DF9,0,-2)-OFFSET(DF9,0,-1)
))))</f>
        <v>-</v>
      </c>
      <c r="DG9" s="57" t="str">
        <f>IF($H9=リスト!$AA$4,"-",
 IF($C9="-","-",
  IF(DF$4&gt;$P9,"-",
   CHOOSE(MATCH($H$3,リスト!$AE$3:$AE$5,0),
    ROUNDUP(
      DF9*IF(DF9*$I9&lt;=$L9,$J9,$I9)*
      IF($P9=1,
         $S9/12,
         IF(DF$4=1,
            $T9/12,
            IF(DF$4=$P9,
               $U9/12,
               1
      ))),0),
    ROUNDDOWN(
      DF9*IF(DF9*$I9&lt;=$L9,$J9,$I9)*
      IF($P9=1,
         $S9/12,
         IF(DF$4=1,
            $T9/12,
            IF(DF$4=$P9,
               $U9/12,
               1
      ))),0),
    ROUND(
      DF9*IF(DF9*$I9&lt;=$L9,$J9,$I9)*
      IF($P9=1,
         $S9/12,
         IF(DF$4=1,
            $T9/12,
            IF(DF$4=$P9,
               $U9/12,
               1
      ))),0)
))))</f>
        <v>-</v>
      </c>
      <c r="DH9" s="56" t="str">
        <f ca="1">IF($H9=リスト!$AA$4,"-",
   IF($C9="-","-",
     IF(DH$4&gt;$P9,"-",
       IF(DH$4=1,$E9,OFFSET(DH9,0,-2)-OFFSET(DH9,0,-1)
))))</f>
        <v>-</v>
      </c>
      <c r="DI9" s="57" t="str">
        <f>IF($H9=リスト!$AA$4,"-",
 IF($C9="-","-",
  IF(DH$4&gt;$P9,"-",
   CHOOSE(MATCH($H$3,リスト!$AE$3:$AE$5,0),
    ROUNDUP(
      DH9*IF(DH9*$I9&lt;=$L9,$J9,$I9)*
      IF($P9=1,
         $S9/12,
         IF(DH$4=1,
            $T9/12,
            IF(DH$4=$P9,
               $U9/12,
               1
      ))),0),
    ROUNDDOWN(
      DH9*IF(DH9*$I9&lt;=$L9,$J9,$I9)*
      IF($P9=1,
         $S9/12,
         IF(DH$4=1,
            $T9/12,
            IF(DH$4=$P9,
               $U9/12,
               1
      ))),0),
    ROUND(
      DH9*IF(DH9*$I9&lt;=$L9,$J9,$I9)*
      IF($P9=1,
         $S9/12,
         IF(DH$4=1,
            $T9/12,
            IF(DH$4=$P9,
               $U9/12,
               1
      ))),0)
))))</f>
        <v>-</v>
      </c>
      <c r="DJ9" s="56" t="str">
        <f ca="1">IF($H9=リスト!$AA$4,"-",
   IF($C9="-","-",
     IF(DJ$4&gt;$P9,"-",
       IF(DJ$4=1,$E9,OFFSET(DJ9,0,-2)-OFFSET(DJ9,0,-1)
))))</f>
        <v>-</v>
      </c>
      <c r="DK9" s="57" t="str">
        <f>IF($H9=リスト!$AA$4,"-",
 IF($C9="-","-",
  IF(DJ$4&gt;$P9,"-",
   CHOOSE(MATCH($H$3,リスト!$AE$3:$AE$5,0),
    ROUNDUP(
      DJ9*IF(DJ9*$I9&lt;=$L9,$J9,$I9)*
      IF($P9=1,
         $S9/12,
         IF(DJ$4=1,
            $T9/12,
            IF(DJ$4=$P9,
               $U9/12,
               1
      ))),0),
    ROUNDDOWN(
      DJ9*IF(DJ9*$I9&lt;=$L9,$J9,$I9)*
      IF($P9=1,
         $S9/12,
         IF(DJ$4=1,
            $T9/12,
            IF(DJ$4=$P9,
               $U9/12,
               1
      ))),0),
    ROUND(
      DJ9*IF(DJ9*$I9&lt;=$L9,$J9,$I9)*
      IF($P9=1,
         $S9/12,
         IF(DJ$4=1,
            $T9/12,
            IF(DJ$4=$P9,
               $U9/12,
               1
      ))),0)
))))</f>
        <v>-</v>
      </c>
      <c r="DL9" s="56" t="str">
        <f ca="1">IF($H9=リスト!$AA$4,"-",
   IF($C9="-","-",
     IF(DL$4&gt;$P9,"-",
       IF(DL$4=1,$E9,OFFSET(DL9,0,-2)-OFFSET(DL9,0,-1)
))))</f>
        <v>-</v>
      </c>
      <c r="DM9" s="57" t="str">
        <f>IF($H9=リスト!$AA$4,"-",
 IF($C9="-","-",
  IF(DL$4&gt;$P9,"-",
   CHOOSE(MATCH($H$3,リスト!$AE$3:$AE$5,0),
    ROUNDUP(
      DL9*IF(DL9*$I9&lt;=$L9,$J9,$I9)*
      IF($P9=1,
         $S9/12,
         IF(DL$4=1,
            $T9/12,
            IF(DL$4=$P9,
               $U9/12,
               1
      ))),0),
    ROUNDDOWN(
      DL9*IF(DL9*$I9&lt;=$L9,$J9,$I9)*
      IF($P9=1,
         $S9/12,
         IF(DL$4=1,
            $T9/12,
            IF(DL$4=$P9,
               $U9/12,
               1
      ))),0),
    ROUND(
      DL9*IF(DL9*$I9&lt;=$L9,$J9,$I9)*
      IF($P9=1,
         $S9/12,
         IF(DL$4=1,
            $T9/12,
            IF(DL$4=$P9,
               $U9/12,
               1
      ))),0)
))))</f>
        <v>-</v>
      </c>
      <c r="DN9" s="56" t="str">
        <f ca="1">IF($H9=リスト!$AA$4,"-",
   IF($C9="-","-",
     IF(DN$4&gt;$P9,"-",
       IF(DN$4=1,$E9,OFFSET(DN9,0,-2)-OFFSET(DN9,0,-1)
))))</f>
        <v>-</v>
      </c>
      <c r="DO9" s="57" t="str">
        <f>IF($H9=リスト!$AA$4,"-",
 IF($C9="-","-",
  IF(DN$4&gt;$P9,"-",
   CHOOSE(MATCH($H$3,リスト!$AE$3:$AE$5,0),
    ROUNDUP(
      DN9*IF(DN9*$I9&lt;=$L9,$J9,$I9)*
      IF($P9=1,
         $S9/12,
         IF(DN$4=1,
            $T9/12,
            IF(DN$4=$P9,
               $U9/12,
               1
      ))),0),
    ROUNDDOWN(
      DN9*IF(DN9*$I9&lt;=$L9,$J9,$I9)*
      IF($P9=1,
         $S9/12,
         IF(DN$4=1,
            $T9/12,
            IF(DN$4=$P9,
               $U9/12,
               1
      ))),0),
    ROUND(
      DN9*IF(DN9*$I9&lt;=$L9,$J9,$I9)*
      IF($P9=1,
         $S9/12,
         IF(DN$4=1,
            $T9/12,
            IF(DN$4=$P9,
               $U9/12,
               1
      ))),0)
))))</f>
        <v>-</v>
      </c>
      <c r="DP9" s="56" t="str">
        <f ca="1">IF($H9=リスト!$AA$4,"-",
   IF($C9="-","-",
     IF(DP$4&gt;$P9,"-",
       IF(DP$4=1,$E9,OFFSET(DP9,0,-2)-OFFSET(DP9,0,-1)
))))</f>
        <v>-</v>
      </c>
      <c r="DQ9" s="57" t="str">
        <f>IF($H9=リスト!$AA$4,"-",
 IF($C9="-","-",
  IF(DP$4&gt;$P9,"-",
   CHOOSE(MATCH($H$3,リスト!$AE$3:$AE$5,0),
    ROUNDUP(
      DP9*IF(DP9*$I9&lt;=$L9,$J9,$I9)*
      IF($P9=1,
         $S9/12,
         IF(DP$4=1,
            $T9/12,
            IF(DP$4=$P9,
               $U9/12,
               1
      ))),0),
    ROUNDDOWN(
      DP9*IF(DP9*$I9&lt;=$L9,$J9,$I9)*
      IF($P9=1,
         $S9/12,
         IF(DP$4=1,
            $T9/12,
            IF(DP$4=$P9,
               $U9/12,
               1
      ))),0),
    ROUND(
      DP9*IF(DP9*$I9&lt;=$L9,$J9,$I9)*
      IF($P9=1,
         $S9/12,
         IF(DP$4=1,
            $T9/12,
            IF(DP$4=$P9,
               $U9/12,
               1
      ))),0)
))))</f>
        <v>-</v>
      </c>
      <c r="DR9" s="56" t="str">
        <f ca="1">IF($H9=リスト!$AA$4,"-",
   IF($C9="-","-",
     IF(DR$4&gt;$P9,"-",
       IF(DR$4=1,$E9,OFFSET(DR9,0,-2)-OFFSET(DR9,0,-1)
))))</f>
        <v>-</v>
      </c>
      <c r="DS9" s="57" t="str">
        <f>IF($H9=リスト!$AA$4,"-",
 IF($C9="-","-",
  IF(DR$4&gt;$P9,"-",
   CHOOSE(MATCH($H$3,リスト!$AE$3:$AE$5,0),
    ROUNDUP(
      DR9*IF(DR9*$I9&lt;=$L9,$J9,$I9)*
      IF($P9=1,
         $S9/12,
         IF(DR$4=1,
            $T9/12,
            IF(DR$4=$P9,
               $U9/12,
               1
      ))),0),
    ROUNDDOWN(
      DR9*IF(DR9*$I9&lt;=$L9,$J9,$I9)*
      IF($P9=1,
         $S9/12,
         IF(DR$4=1,
            $T9/12,
            IF(DR$4=$P9,
               $U9/12,
               1
      ))),0),
    ROUND(
      DR9*IF(DR9*$I9&lt;=$L9,$J9,$I9)*
      IF($P9=1,
         $S9/12,
         IF(DR$4=1,
            $T9/12,
            IF(DR$4=$P9,
               $U9/12,
               1
      ))),0)
))))</f>
        <v>-</v>
      </c>
      <c r="DT9" s="56" t="str" cm="1">
        <f t="array" ref="DT9">IF($H9&lt;&gt;リスト!$AA$3,"-",$E9-SUMPRODUCT(IFERROR($Y9:$DS9*1,0), --(MOD(COLUMN($Y9:$DS9)-COLUMN($Y9),2)=0)))</f>
        <v>-</v>
      </c>
      <c r="DU9" s="56" t="str">
        <f>IF($H9&lt;&gt;リスト!$AA$4,"-",
    IF($H$3=リスト!$AE$3,$E9-ROUNDUP($E9*I9*$W9/12,0),
    IF($H$3=リスト!$AE$4,$E9-ROUNDDOWN($E9*I9*$W9/12,0),
    IF($H$3=リスト!$AE$5,$E9-ROUND($E9*I9*$W9/12,0),
    "-"))))</f>
        <v>-</v>
      </c>
    </row>
    <row r="10" spans="2:125">
      <c r="B10" s="54">
        <v>5</v>
      </c>
      <c r="C10" s="55" t="str">
        <f>IF(財産処分報告用!$C10="","-",財産処分報告用!$C10)</f>
        <v>-</v>
      </c>
      <c r="D10" s="55" t="str">
        <f>財産処分報告用!$E10</f>
        <v>-</v>
      </c>
      <c r="E10" s="56" t="str">
        <f>IF(財産処分報告用!$J10="","-",財産処分報告用!$J10)</f>
        <v>-</v>
      </c>
      <c r="F10" s="101" t="str">
        <f>IF(財産処分報告用!$K10="","-",財産処分報告用!$K10)</f>
        <v>-</v>
      </c>
      <c r="G10" s="101" t="str">
        <f>IF(財産処分報告用!$L10="","-",財産処分報告用!$L10)</f>
        <v>-</v>
      </c>
      <c r="H10" s="55" t="str">
        <f>IF(財産処分報告用!$M10="","-",財産処分報告用!$M10)</f>
        <v>-</v>
      </c>
      <c r="I10" s="55" t="str">
        <f>IF(OR($D10="-",$H10="-"),"-",INDEX(リスト!$AG$2:$AI$101,MATCH($D10,リスト!$AG$2:$AG$101,0),MATCH($H10,リスト!$AG$2:$AI$2,0)))</f>
        <v>-</v>
      </c>
      <c r="J10" s="55" t="str">
        <f>IF(OR($D10="-",$H10="-"),"-",IF($H10=リスト!$AA$4,"-",INDEX(リスト!$AG$2:$AK$101,MATCH($D10,リスト!$AG$2:$AG$101,0),4)))</f>
        <v>-</v>
      </c>
      <c r="K10" s="55" t="str">
        <f>IF(OR($D10="-",$H10="-"),"-",IF($H10=リスト!$AA$4,"-",INDEX(リスト!$AG$2:$AK$101,MATCH($D10,リスト!$AG$2:$AG$101,0),5)))</f>
        <v>-</v>
      </c>
      <c r="L10" s="55" t="str">
        <f t="shared" si="0"/>
        <v>-</v>
      </c>
      <c r="M10" s="101" t="str">
        <f t="shared" si="1"/>
        <v>-</v>
      </c>
      <c r="N10" s="101" t="str">
        <f t="shared" si="2"/>
        <v>-</v>
      </c>
      <c r="O10" s="101" t="str">
        <f t="shared" si="3"/>
        <v>-</v>
      </c>
      <c r="P10" s="102" t="str">
        <f t="shared" si="4"/>
        <v>-</v>
      </c>
      <c r="Q10" s="115" t="str">
        <f t="shared" si="5"/>
        <v>-</v>
      </c>
      <c r="R10" s="116" t="str">
        <f t="shared" si="6"/>
        <v>-</v>
      </c>
      <c r="S10" s="102" t="str">
        <f t="shared" si="7"/>
        <v>-</v>
      </c>
      <c r="T10" s="102" t="str">
        <f t="shared" si="8"/>
        <v>-</v>
      </c>
      <c r="U10" s="102" t="str">
        <f t="shared" si="9"/>
        <v>-</v>
      </c>
      <c r="V10" s="102" t="str">
        <f t="shared" si="10"/>
        <v>-</v>
      </c>
      <c r="W10" s="55" t="str">
        <f t="shared" si="11"/>
        <v>-</v>
      </c>
      <c r="X10" s="56" t="str">
        <f ca="1">IF($H10=リスト!$AA$4,"-",
   IF($C10="-","-",
     IF(X$4&gt;$P10,"-",
       IF(X$4=1,$E10,OFFSET(X10,0,-2)-OFFSET(X10,0,-1)
))))</f>
        <v>-</v>
      </c>
      <c r="Y10" s="57" t="str">
        <f>IF($H10=リスト!$AA$4,"-",
 IF($C10="-","-",
  IF(X$4&gt;$P10,"-",
   CHOOSE(MATCH($H$3,リスト!$AE$3:$AE$5,0),
    ROUNDUP(
      X10*IF(X10*$I10&lt;=$L10,$J10,$I10)*
      IF($P10=1,
         $S10/12,
         IF(X$4=1,
            $T10/12,
            IF(X$4=$P10,
               $U10/12,
               1
      ))),0),
    ROUNDDOWN(
      X10*IF(X10*$I10&lt;=$L10,$J10,$I10)*
      IF($P10=1,
         $S10/12,
         IF(X$4=1,
            $T10/12,
            IF(X$4=$P10,
               $U10/12,
               1
      ))),0),
    ROUND(
      X10*IF(X10*$I10&lt;=$L10,$J10,$I10)*
      IF($P10=1,
         $S10/12,
         IF(X$4=1,
            $T10/12,
            IF(X$4=$P10,
               $U10/12,
               1
      ))),0)
))))</f>
        <v>-</v>
      </c>
      <c r="Z10" s="56" t="str">
        <f ca="1">IF($H10=リスト!$AA$4,"-",
   IF($C10="-","-",
     IF(Z$4&gt;$P10,"-",
       IF(Z$4=1,$E10,OFFSET(Z10,0,-2)-OFFSET(Z10,0,-1)
))))</f>
        <v>-</v>
      </c>
      <c r="AA10" s="57" t="str">
        <f>IF($H10=リスト!$AA$4,"-",
 IF($C10="-","-",
  IF(Z$4&gt;$P10,"-",
   CHOOSE(MATCH($H$3,リスト!$AE$3:$AE$5,0),
    ROUNDUP(
      Z10*IF(Z10*$I10&lt;=$L10,$J10,$I10)*
      IF($P10=1,
         $S10/12,
         IF(Z$4=1,
            $T10/12,
            IF(Z$4=$P10,
               $U10/12,
               1
      ))),0),
    ROUNDDOWN(
      Z10*IF(Z10*$I10&lt;=$L10,$J10,$I10)*
      IF($P10=1,
         $S10/12,
         IF(Z$4=1,
            $T10/12,
            IF(Z$4=$P10,
               $U10/12,
               1
      ))),0),
    ROUND(
      Z10*IF(Z10*$I10&lt;=$L10,$J10,$I10)*
      IF($P10=1,
         $S10/12,
         IF(Z$4=1,
            $T10/12,
            IF(Z$4=$P10,
               $U10/12,
               1
      ))),0)
))))</f>
        <v>-</v>
      </c>
      <c r="AB10" s="56" t="str">
        <f ca="1">IF($H10=リスト!$AA$4,"-",
   IF($C10="-","-",
     IF(AB$4&gt;$P10,"-",
       IF(AB$4=1,$E10,OFFSET(AB10,0,-2)-OFFSET(AB10,0,-1)
))))</f>
        <v>-</v>
      </c>
      <c r="AC10" s="57" t="str">
        <f>IF($H10=リスト!$AA$4,"-",
 IF($C10="-","-",
  IF(AB$4&gt;$P10,"-",
   CHOOSE(MATCH($H$3,リスト!$AE$3:$AE$5,0),
    ROUNDUP(
      AB10*IF(AB10*$I10&lt;=$L10,$J10,$I10)*
      IF($P10=1,
         $S10/12,
         IF(AB$4=1,
            $T10/12,
            IF(AB$4=$P10,
               $U10/12,
               1
      ))),0),
    ROUNDDOWN(
      AB10*IF(AB10*$I10&lt;=$L10,$J10,$I10)*
      IF($P10=1,
         $S10/12,
         IF(AB$4=1,
            $T10/12,
            IF(AB$4=$P10,
               $U10/12,
               1
      ))),0),
    ROUND(
      AB10*IF(AB10*$I10&lt;=$L10,$J10,$I10)*
      IF($P10=1,
         $S10/12,
         IF(AB$4=1,
            $T10/12,
            IF(AB$4=$P10,
               $U10/12,
               1
      ))),0)
))))</f>
        <v>-</v>
      </c>
      <c r="AD10" s="56" t="str">
        <f ca="1">IF($H10=リスト!$AA$4,"-",
   IF($C10="-","-",
     IF(AD$4&gt;$P10,"-",
       IF(AD$4=1,$E10,OFFSET(AD10,0,-2)-OFFSET(AD10,0,-1)
))))</f>
        <v>-</v>
      </c>
      <c r="AE10" s="57" t="str">
        <f>IF($H10=リスト!$AA$4,"-",
 IF($C10="-","-",
  IF(AD$4&gt;$P10,"-",
   CHOOSE(MATCH($H$3,リスト!$AE$3:$AE$5,0),
    ROUNDUP(
      AD10*IF(AD10*$I10&lt;=$L10,$J10,$I10)*
      IF($P10=1,
         $S10/12,
         IF(AD$4=1,
            $T10/12,
            IF(AD$4=$P10,
               $U10/12,
               1
      ))),0),
    ROUNDDOWN(
      AD10*IF(AD10*$I10&lt;=$L10,$J10,$I10)*
      IF($P10=1,
         $S10/12,
         IF(AD$4=1,
            $T10/12,
            IF(AD$4=$P10,
               $U10/12,
               1
      ))),0),
    ROUND(
      AD10*IF(AD10*$I10&lt;=$L10,$J10,$I10)*
      IF($P10=1,
         $S10/12,
         IF(AD$4=1,
            $T10/12,
            IF(AD$4=$P10,
               $U10/12,
               1
      ))),0)
))))</f>
        <v>-</v>
      </c>
      <c r="AF10" s="56" t="str">
        <f ca="1">IF($H10=リスト!$AA$4,"-",
   IF($C10="-","-",
     IF(AF$4&gt;$P10,"-",
       IF(AF$4=1,$E10,OFFSET(AF10,0,-2)-OFFSET(AF10,0,-1)
))))</f>
        <v>-</v>
      </c>
      <c r="AG10" s="57" t="str">
        <f>IF($H10=リスト!$AA$4,"-",
 IF($C10="-","-",
  IF(AF$4&gt;$P10,"-",
   CHOOSE(MATCH($H$3,リスト!$AE$3:$AE$5,0),
    ROUNDUP(
      AF10*IF(AF10*$I10&lt;=$L10,$J10,$I10)*
      IF($P10=1,
         $S10/12,
         IF(AF$4=1,
            $T10/12,
            IF(AF$4=$P10,
               $U10/12,
               1
      ))),0),
    ROUNDDOWN(
      AF10*IF(AF10*$I10&lt;=$L10,$J10,$I10)*
      IF($P10=1,
         $S10/12,
         IF(AF$4=1,
            $T10/12,
            IF(AF$4=$P10,
               $U10/12,
               1
      ))),0),
    ROUND(
      AF10*IF(AF10*$I10&lt;=$L10,$J10,$I10)*
      IF($P10=1,
         $S10/12,
         IF(AF$4=1,
            $T10/12,
            IF(AF$4=$P10,
               $U10/12,
               1
      ))),0)
))))</f>
        <v>-</v>
      </c>
      <c r="AH10" s="56" t="str">
        <f ca="1">IF($H10=リスト!$AA$4,"-",
   IF($C10="-","-",
     IF(AH$4&gt;$P10,"-",
       IF(AH$4=1,$E10,OFFSET(AH10,0,-2)-OFFSET(AH10,0,-1)
))))</f>
        <v>-</v>
      </c>
      <c r="AI10" s="57" t="str">
        <f>IF($H10=リスト!$AA$4,"-",
 IF($C10="-","-",
  IF(AH$4&gt;$P10,"-",
   CHOOSE(MATCH($H$3,リスト!$AE$3:$AE$5,0),
    ROUNDUP(
      AH10*IF(AH10*$I10&lt;=$L10,$J10,$I10)*
      IF($P10=1,
         $S10/12,
         IF(AH$4=1,
            $T10/12,
            IF(AH$4=$P10,
               $U10/12,
               1
      ))),0),
    ROUNDDOWN(
      AH10*IF(AH10*$I10&lt;=$L10,$J10,$I10)*
      IF($P10=1,
         $S10/12,
         IF(AH$4=1,
            $T10/12,
            IF(AH$4=$P10,
               $U10/12,
               1
      ))),0),
    ROUND(
      AH10*IF(AH10*$I10&lt;=$L10,$J10,$I10)*
      IF($P10=1,
         $S10/12,
         IF(AH$4=1,
            $T10/12,
            IF(AH$4=$P10,
               $U10/12,
               1
      ))),0)
))))</f>
        <v>-</v>
      </c>
      <c r="AJ10" s="56" t="str">
        <f ca="1">IF($H10=リスト!$AA$4,"-",
   IF($C10="-","-",
     IF(AJ$4&gt;$P10,"-",
       IF(AJ$4=1,$E10,OFFSET(AJ10,0,-2)-OFFSET(AJ10,0,-1)
))))</f>
        <v>-</v>
      </c>
      <c r="AK10" s="57" t="str">
        <f>IF($H10=リスト!$AA$4,"-",
 IF($C10="-","-",
  IF(AJ$4&gt;$P10,"-",
   CHOOSE(MATCH($H$3,リスト!$AE$3:$AE$5,0),
    ROUNDUP(
      AJ10*IF(AJ10*$I10&lt;=$L10,$J10,$I10)*
      IF($P10=1,
         $S10/12,
         IF(AJ$4=1,
            $T10/12,
            IF(AJ$4=$P10,
               $U10/12,
               1
      ))),0),
    ROUNDDOWN(
      AJ10*IF(AJ10*$I10&lt;=$L10,$J10,$I10)*
      IF($P10=1,
         $S10/12,
         IF(AJ$4=1,
            $T10/12,
            IF(AJ$4=$P10,
               $U10/12,
               1
      ))),0),
    ROUND(
      AJ10*IF(AJ10*$I10&lt;=$L10,$J10,$I10)*
      IF($P10=1,
         $S10/12,
         IF(AJ$4=1,
            $T10/12,
            IF(AJ$4=$P10,
               $U10/12,
               1
      ))),0)
))))</f>
        <v>-</v>
      </c>
      <c r="AL10" s="56" t="str">
        <f ca="1">IF($H10=リスト!$AA$4,"-",
   IF($C10="-","-",
     IF(AL$4&gt;$P10,"-",
       IF(AL$4=1,$E10,OFFSET(AL10,0,-2)-OFFSET(AL10,0,-1)
))))</f>
        <v>-</v>
      </c>
      <c r="AM10" s="57" t="str">
        <f>IF($H10=リスト!$AA$4,"-",
 IF($C10="-","-",
  IF(AL$4&gt;$P10,"-",
   CHOOSE(MATCH($H$3,リスト!$AE$3:$AE$5,0),
    ROUNDUP(
      AL10*IF(AL10*$I10&lt;=$L10,$J10,$I10)*
      IF($P10=1,
         $S10/12,
         IF(AL$4=1,
            $T10/12,
            IF(AL$4=$P10,
               $U10/12,
               1
      ))),0),
    ROUNDDOWN(
      AL10*IF(AL10*$I10&lt;=$L10,$J10,$I10)*
      IF($P10=1,
         $S10/12,
         IF(AL$4=1,
            $T10/12,
            IF(AL$4=$P10,
               $U10/12,
               1
      ))),0),
    ROUND(
      AL10*IF(AL10*$I10&lt;=$L10,$J10,$I10)*
      IF($P10=1,
         $S10/12,
         IF(AL$4=1,
            $T10/12,
            IF(AL$4=$P10,
               $U10/12,
               1
      ))),0)
))))</f>
        <v>-</v>
      </c>
      <c r="AN10" s="56" t="str">
        <f ca="1">IF($H10=リスト!$AA$4,"-",
   IF($C10="-","-",
     IF(AN$4&gt;$P10,"-",
       IF(AN$4=1,$E10,OFFSET(AN10,0,-2)-OFFSET(AN10,0,-1)
))))</f>
        <v>-</v>
      </c>
      <c r="AO10" s="57" t="str">
        <f>IF($H10=リスト!$AA$4,"-",
 IF($C10="-","-",
  IF(AN$4&gt;$P10,"-",
   CHOOSE(MATCH($H$3,リスト!$AE$3:$AE$5,0),
    ROUNDUP(
      AN10*IF(AN10*$I10&lt;=$L10,$J10,$I10)*
      IF($P10=1,
         $S10/12,
         IF(AN$4=1,
            $T10/12,
            IF(AN$4=$P10,
               $U10/12,
               1
      ))),0),
    ROUNDDOWN(
      AN10*IF(AN10*$I10&lt;=$L10,$J10,$I10)*
      IF($P10=1,
         $S10/12,
         IF(AN$4=1,
            $T10/12,
            IF(AN$4=$P10,
               $U10/12,
               1
      ))),0),
    ROUND(
      AN10*IF(AN10*$I10&lt;=$L10,$J10,$I10)*
      IF($P10=1,
         $S10/12,
         IF(AN$4=1,
            $T10/12,
            IF(AN$4=$P10,
               $U10/12,
               1
      ))),0)
))))</f>
        <v>-</v>
      </c>
      <c r="AP10" s="56" t="str">
        <f ca="1">IF($H10=リスト!$AA$4,"-",
   IF($C10="-","-",
     IF(AP$4&gt;$P10,"-",
       IF(AP$4=1,$E10,OFFSET(AP10,0,-2)-OFFSET(AP10,0,-1)
))))</f>
        <v>-</v>
      </c>
      <c r="AQ10" s="57" t="str">
        <f>IF($H10=リスト!$AA$4,"-",
 IF($C10="-","-",
  IF(AP$4&gt;$P10,"-",
   CHOOSE(MATCH($H$3,リスト!$AE$3:$AE$5,0),
    ROUNDUP(
      AP10*IF(AP10*$I10&lt;=$L10,$J10,$I10)*
      IF($P10=1,
         $S10/12,
         IF(AP$4=1,
            $T10/12,
            IF(AP$4=$P10,
               $U10/12,
               1
      ))),0),
    ROUNDDOWN(
      AP10*IF(AP10*$I10&lt;=$L10,$J10,$I10)*
      IF($P10=1,
         $S10/12,
         IF(AP$4=1,
            $T10/12,
            IF(AP$4=$P10,
               $U10/12,
               1
      ))),0),
    ROUND(
      AP10*IF(AP10*$I10&lt;=$L10,$J10,$I10)*
      IF($P10=1,
         $S10/12,
         IF(AP$4=1,
            $T10/12,
            IF(AP$4=$P10,
               $U10/12,
               1
      ))),0)
))))</f>
        <v>-</v>
      </c>
      <c r="AR10" s="56" t="str">
        <f ca="1">IF($H10=リスト!$AA$4,"-",
   IF($C10="-","-",
     IF(AR$4&gt;$P10,"-",
       IF(AR$4=1,$E10,OFFSET(AR10,0,-2)-OFFSET(AR10,0,-1)
))))</f>
        <v>-</v>
      </c>
      <c r="AS10" s="57" t="str">
        <f>IF($H10=リスト!$AA$4,"-",
 IF($C10="-","-",
  IF(AR$4&gt;$P10,"-",
   CHOOSE(MATCH($H$3,リスト!$AE$3:$AE$5,0),
    ROUNDUP(
      AR10*IF(AR10*$I10&lt;=$L10,$J10,$I10)*
      IF($P10=1,
         $S10/12,
         IF(AR$4=1,
            $T10/12,
            IF(AR$4=$P10,
               $U10/12,
               1
      ))),0),
    ROUNDDOWN(
      AR10*IF(AR10*$I10&lt;=$L10,$J10,$I10)*
      IF($P10=1,
         $S10/12,
         IF(AR$4=1,
            $T10/12,
            IF(AR$4=$P10,
               $U10/12,
               1
      ))),0),
    ROUND(
      AR10*IF(AR10*$I10&lt;=$L10,$J10,$I10)*
      IF($P10=1,
         $S10/12,
         IF(AR$4=1,
            $T10/12,
            IF(AR$4=$P10,
               $U10/12,
               1
      ))),0)
))))</f>
        <v>-</v>
      </c>
      <c r="AT10" s="56" t="str">
        <f ca="1">IF($H10=リスト!$AA$4,"-",
   IF($C10="-","-",
     IF(AT$4&gt;$P10,"-",
       IF(AT$4=1,$E10,OFFSET(AT10,0,-2)-OFFSET(AT10,0,-1)
))))</f>
        <v>-</v>
      </c>
      <c r="AU10" s="57" t="str">
        <f>IF($H10=リスト!$AA$4,"-",
 IF($C10="-","-",
  IF(AT$4&gt;$P10,"-",
   CHOOSE(MATCH($H$3,リスト!$AE$3:$AE$5,0),
    ROUNDUP(
      AT10*IF(AT10*$I10&lt;=$L10,$J10,$I10)*
      IF($P10=1,
         $S10/12,
         IF(AT$4=1,
            $T10/12,
            IF(AT$4=$P10,
               $U10/12,
               1
      ))),0),
    ROUNDDOWN(
      AT10*IF(AT10*$I10&lt;=$L10,$J10,$I10)*
      IF($P10=1,
         $S10/12,
         IF(AT$4=1,
            $T10/12,
            IF(AT$4=$P10,
               $U10/12,
               1
      ))),0),
    ROUND(
      AT10*IF(AT10*$I10&lt;=$L10,$J10,$I10)*
      IF($P10=1,
         $S10/12,
         IF(AT$4=1,
            $T10/12,
            IF(AT$4=$P10,
               $U10/12,
               1
      ))),0)
))))</f>
        <v>-</v>
      </c>
      <c r="AV10" s="56" t="str">
        <f ca="1">IF($H10=リスト!$AA$4,"-",
   IF($C10="-","-",
     IF(AV$4&gt;$P10,"-",
       IF(AV$4=1,$E10,OFFSET(AV10,0,-2)-OFFSET(AV10,0,-1)
))))</f>
        <v>-</v>
      </c>
      <c r="AW10" s="57" t="str">
        <f>IF($H10=リスト!$AA$4,"-",
 IF($C10="-","-",
  IF(AV$4&gt;$P10,"-",
   CHOOSE(MATCH($H$3,リスト!$AE$3:$AE$5,0),
    ROUNDUP(
      AV10*IF(AV10*$I10&lt;=$L10,$J10,$I10)*
      IF($P10=1,
         $S10/12,
         IF(AV$4=1,
            $T10/12,
            IF(AV$4=$P10,
               $U10/12,
               1
      ))),0),
    ROUNDDOWN(
      AV10*IF(AV10*$I10&lt;=$L10,$J10,$I10)*
      IF($P10=1,
         $S10/12,
         IF(AV$4=1,
            $T10/12,
            IF(AV$4=$P10,
               $U10/12,
               1
      ))),0),
    ROUND(
      AV10*IF(AV10*$I10&lt;=$L10,$J10,$I10)*
      IF($P10=1,
         $S10/12,
         IF(AV$4=1,
            $T10/12,
            IF(AV$4=$P10,
               $U10/12,
               1
      ))),0)
))))</f>
        <v>-</v>
      </c>
      <c r="AX10" s="56" t="str">
        <f ca="1">IF($H10=リスト!$AA$4,"-",
   IF($C10="-","-",
     IF(AX$4&gt;$P10,"-",
       IF(AX$4=1,$E10,OFFSET(AX10,0,-2)-OFFSET(AX10,0,-1)
))))</f>
        <v>-</v>
      </c>
      <c r="AY10" s="57" t="str">
        <f>IF($H10=リスト!$AA$4,"-",
 IF($C10="-","-",
  IF(AX$4&gt;$P10,"-",
   CHOOSE(MATCH($H$3,リスト!$AE$3:$AE$5,0),
    ROUNDUP(
      AX10*IF(AX10*$I10&lt;=$L10,$J10,$I10)*
      IF($P10=1,
         $S10/12,
         IF(AX$4=1,
            $T10/12,
            IF(AX$4=$P10,
               $U10/12,
               1
      ))),0),
    ROUNDDOWN(
      AX10*IF(AX10*$I10&lt;=$L10,$J10,$I10)*
      IF($P10=1,
         $S10/12,
         IF(AX$4=1,
            $T10/12,
            IF(AX$4=$P10,
               $U10/12,
               1
      ))),0),
    ROUND(
      AX10*IF(AX10*$I10&lt;=$L10,$J10,$I10)*
      IF($P10=1,
         $S10/12,
         IF(AX$4=1,
            $T10/12,
            IF(AX$4=$P10,
               $U10/12,
               1
      ))),0)
))))</f>
        <v>-</v>
      </c>
      <c r="AZ10" s="56" t="str">
        <f ca="1">IF($H10=リスト!$AA$4,"-",
   IF($C10="-","-",
     IF(AZ$4&gt;$P10,"-",
       IF(AZ$4=1,$E10,OFFSET(AZ10,0,-2)-OFFSET(AZ10,0,-1)
))))</f>
        <v>-</v>
      </c>
      <c r="BA10" s="57" t="str">
        <f>IF($H10=リスト!$AA$4,"-",
 IF($C10="-","-",
  IF(AZ$4&gt;$P10,"-",
   CHOOSE(MATCH($H$3,リスト!$AE$3:$AE$5,0),
    ROUNDUP(
      AZ10*IF(AZ10*$I10&lt;=$L10,$J10,$I10)*
      IF($P10=1,
         $S10/12,
         IF(AZ$4=1,
            $T10/12,
            IF(AZ$4=$P10,
               $U10/12,
               1
      ))),0),
    ROUNDDOWN(
      AZ10*IF(AZ10*$I10&lt;=$L10,$J10,$I10)*
      IF($P10=1,
         $S10/12,
         IF(AZ$4=1,
            $T10/12,
            IF(AZ$4=$P10,
               $U10/12,
               1
      ))),0),
    ROUND(
      AZ10*IF(AZ10*$I10&lt;=$L10,$J10,$I10)*
      IF($P10=1,
         $S10/12,
         IF(AZ$4=1,
            $T10/12,
            IF(AZ$4=$P10,
               $U10/12,
               1
      ))),0)
))))</f>
        <v>-</v>
      </c>
      <c r="BB10" s="56" t="str">
        <f ca="1">IF($H10=リスト!$AA$4,"-",
   IF($C10="-","-",
     IF(BB$4&gt;$P10,"-",
       IF(BB$4=1,$E10,OFFSET(BB10,0,-2)-OFFSET(BB10,0,-1)
))))</f>
        <v>-</v>
      </c>
      <c r="BC10" s="57" t="str">
        <f>IF($H10=リスト!$AA$4,"-",
 IF($C10="-","-",
  IF(BB$4&gt;$P10,"-",
   CHOOSE(MATCH($H$3,リスト!$AE$3:$AE$5,0),
    ROUNDUP(
      BB10*IF(BB10*$I10&lt;=$L10,$J10,$I10)*
      IF($P10=1,
         $S10/12,
         IF(BB$4=1,
            $T10/12,
            IF(BB$4=$P10,
               $U10/12,
               1
      ))),0),
    ROUNDDOWN(
      BB10*IF(BB10*$I10&lt;=$L10,$J10,$I10)*
      IF($P10=1,
         $S10/12,
         IF(BB$4=1,
            $T10/12,
            IF(BB$4=$P10,
               $U10/12,
               1
      ))),0),
    ROUND(
      BB10*IF(BB10*$I10&lt;=$L10,$J10,$I10)*
      IF($P10=1,
         $S10/12,
         IF(BB$4=1,
            $T10/12,
            IF(BB$4=$P10,
               $U10/12,
               1
      ))),0)
))))</f>
        <v>-</v>
      </c>
      <c r="BD10" s="56" t="str">
        <f ca="1">IF($H10=リスト!$AA$4,"-",
   IF($C10="-","-",
     IF(BD$4&gt;$P10,"-",
       IF(BD$4=1,$E10,OFFSET(BD10,0,-2)-OFFSET(BD10,0,-1)
))))</f>
        <v>-</v>
      </c>
      <c r="BE10" s="57" t="str">
        <f>IF($H10=リスト!$AA$4,"-",
 IF($C10="-","-",
  IF(BD$4&gt;$P10,"-",
   CHOOSE(MATCH($H$3,リスト!$AE$3:$AE$5,0),
    ROUNDUP(
      BD10*IF(BD10*$I10&lt;=$L10,$J10,$I10)*
      IF($P10=1,
         $S10/12,
         IF(BD$4=1,
            $T10/12,
            IF(BD$4=$P10,
               $U10/12,
               1
      ))),0),
    ROUNDDOWN(
      BD10*IF(BD10*$I10&lt;=$L10,$J10,$I10)*
      IF($P10=1,
         $S10/12,
         IF(BD$4=1,
            $T10/12,
            IF(BD$4=$P10,
               $U10/12,
               1
      ))),0),
    ROUND(
      BD10*IF(BD10*$I10&lt;=$L10,$J10,$I10)*
      IF($P10=1,
         $S10/12,
         IF(BD$4=1,
            $T10/12,
            IF(BD$4=$P10,
               $U10/12,
               1
      ))),0)
))))</f>
        <v>-</v>
      </c>
      <c r="BF10" s="56" t="str">
        <f ca="1">IF($H10=リスト!$AA$4,"-",
   IF($C10="-","-",
     IF(BF$4&gt;$P10,"-",
       IF(BF$4=1,$E10,OFFSET(BF10,0,-2)-OFFSET(BF10,0,-1)
))))</f>
        <v>-</v>
      </c>
      <c r="BG10" s="57" t="str">
        <f>IF($H10=リスト!$AA$4,"-",
 IF($C10="-","-",
  IF(BF$4&gt;$P10,"-",
   CHOOSE(MATCH($H$3,リスト!$AE$3:$AE$5,0),
    ROUNDUP(
      BF10*IF(BF10*$I10&lt;=$L10,$J10,$I10)*
      IF($P10=1,
         $S10/12,
         IF(BF$4=1,
            $T10/12,
            IF(BF$4=$P10,
               $U10/12,
               1
      ))),0),
    ROUNDDOWN(
      BF10*IF(BF10*$I10&lt;=$L10,$J10,$I10)*
      IF($P10=1,
         $S10/12,
         IF(BF$4=1,
            $T10/12,
            IF(BF$4=$P10,
               $U10/12,
               1
      ))),0),
    ROUND(
      BF10*IF(BF10*$I10&lt;=$L10,$J10,$I10)*
      IF($P10=1,
         $S10/12,
         IF(BF$4=1,
            $T10/12,
            IF(BF$4=$P10,
               $U10/12,
               1
      ))),0)
))))</f>
        <v>-</v>
      </c>
      <c r="BH10" s="56" t="str">
        <f ca="1">IF($H10=リスト!$AA$4,"-",
   IF($C10="-","-",
     IF(BH$4&gt;$P10,"-",
       IF(BH$4=1,$E10,OFFSET(BH10,0,-2)-OFFSET(BH10,0,-1)
))))</f>
        <v>-</v>
      </c>
      <c r="BI10" s="57" t="str">
        <f>IF($H10=リスト!$AA$4,"-",
 IF($C10="-","-",
  IF(BH$4&gt;$P10,"-",
   CHOOSE(MATCH($H$3,リスト!$AE$3:$AE$5,0),
    ROUNDUP(
      BH10*IF(BH10*$I10&lt;=$L10,$J10,$I10)*
      IF($P10=1,
         $S10/12,
         IF(BH$4=1,
            $T10/12,
            IF(BH$4=$P10,
               $U10/12,
               1
      ))),0),
    ROUNDDOWN(
      BH10*IF(BH10*$I10&lt;=$L10,$J10,$I10)*
      IF($P10=1,
         $S10/12,
         IF(BH$4=1,
            $T10/12,
            IF(BH$4=$P10,
               $U10/12,
               1
      ))),0),
    ROUND(
      BH10*IF(BH10*$I10&lt;=$L10,$J10,$I10)*
      IF($P10=1,
         $S10/12,
         IF(BH$4=1,
            $T10/12,
            IF(BH$4=$P10,
               $U10/12,
               1
      ))),0)
))))</f>
        <v>-</v>
      </c>
      <c r="BJ10" s="56" t="str">
        <f ca="1">IF($H10=リスト!$AA$4,"-",
   IF($C10="-","-",
     IF(BJ$4&gt;$P10,"-",
       IF(BJ$4=1,$E10,OFFSET(BJ10,0,-2)-OFFSET(BJ10,0,-1)
))))</f>
        <v>-</v>
      </c>
      <c r="BK10" s="57" t="str">
        <f>IF($H10=リスト!$AA$4,"-",
 IF($C10="-","-",
  IF(BJ$4&gt;$P10,"-",
   CHOOSE(MATCH($H$3,リスト!$AE$3:$AE$5,0),
    ROUNDUP(
      BJ10*IF(BJ10*$I10&lt;=$L10,$J10,$I10)*
      IF($P10=1,
         $S10/12,
         IF(BJ$4=1,
            $T10/12,
            IF(BJ$4=$P10,
               $U10/12,
               1
      ))),0),
    ROUNDDOWN(
      BJ10*IF(BJ10*$I10&lt;=$L10,$J10,$I10)*
      IF($P10=1,
         $S10/12,
         IF(BJ$4=1,
            $T10/12,
            IF(BJ$4=$P10,
               $U10/12,
               1
      ))),0),
    ROUND(
      BJ10*IF(BJ10*$I10&lt;=$L10,$J10,$I10)*
      IF($P10=1,
         $S10/12,
         IF(BJ$4=1,
            $T10/12,
            IF(BJ$4=$P10,
               $U10/12,
               1
      ))),0)
))))</f>
        <v>-</v>
      </c>
      <c r="BL10" s="56" t="str">
        <f ca="1">IF($H10=リスト!$AA$4,"-",
   IF($C10="-","-",
     IF(BL$4&gt;$P10,"-",
       IF(BL$4=1,$E10,OFFSET(BL10,0,-2)-OFFSET(BL10,0,-1)
))))</f>
        <v>-</v>
      </c>
      <c r="BM10" s="57" t="str">
        <f>IF($H10=リスト!$AA$4,"-",
 IF($C10="-","-",
  IF(BL$4&gt;$P10,"-",
   CHOOSE(MATCH($H$3,リスト!$AE$3:$AE$5,0),
    ROUNDUP(
      BL10*IF(BL10*$I10&lt;=$L10,$J10,$I10)*
      IF($P10=1,
         $S10/12,
         IF(BL$4=1,
            $T10/12,
            IF(BL$4=$P10,
               $U10/12,
               1
      ))),0),
    ROUNDDOWN(
      BL10*IF(BL10*$I10&lt;=$L10,$J10,$I10)*
      IF($P10=1,
         $S10/12,
         IF(BL$4=1,
            $T10/12,
            IF(BL$4=$P10,
               $U10/12,
               1
      ))),0),
    ROUND(
      BL10*IF(BL10*$I10&lt;=$L10,$J10,$I10)*
      IF($P10=1,
         $S10/12,
         IF(BL$4=1,
            $T10/12,
            IF(BL$4=$P10,
               $U10/12,
               1
      ))),0)
))))</f>
        <v>-</v>
      </c>
      <c r="BN10" s="56" t="str">
        <f ca="1">IF($H10=リスト!$AA$4,"-",
   IF($C10="-","-",
     IF(BN$4&gt;$P10,"-",
       IF(BN$4=1,$E10,OFFSET(BN10,0,-2)-OFFSET(BN10,0,-1)
))))</f>
        <v>-</v>
      </c>
      <c r="BO10" s="57" t="str">
        <f>IF($H10=リスト!$AA$4,"-",
 IF($C10="-","-",
  IF(BN$4&gt;$P10,"-",
   CHOOSE(MATCH($H$3,リスト!$AE$3:$AE$5,0),
    ROUNDUP(
      BN10*IF(BN10*$I10&lt;=$L10,$J10,$I10)*
      IF($P10=1,
         $S10/12,
         IF(BN$4=1,
            $T10/12,
            IF(BN$4=$P10,
               $U10/12,
               1
      ))),0),
    ROUNDDOWN(
      BN10*IF(BN10*$I10&lt;=$L10,$J10,$I10)*
      IF($P10=1,
         $S10/12,
         IF(BN$4=1,
            $T10/12,
            IF(BN$4=$P10,
               $U10/12,
               1
      ))),0),
    ROUND(
      BN10*IF(BN10*$I10&lt;=$L10,$J10,$I10)*
      IF($P10=1,
         $S10/12,
         IF(BN$4=1,
            $T10/12,
            IF(BN$4=$P10,
               $U10/12,
               1
      ))),0)
))))</f>
        <v>-</v>
      </c>
      <c r="BP10" s="56" t="str">
        <f ca="1">IF($H10=リスト!$AA$4,"-",
   IF($C10="-","-",
     IF(BP$4&gt;$P10,"-",
       IF(BP$4=1,$E10,OFFSET(BP10,0,-2)-OFFSET(BP10,0,-1)
))))</f>
        <v>-</v>
      </c>
      <c r="BQ10" s="57" t="str">
        <f>IF($H10=リスト!$AA$4,"-",
 IF($C10="-","-",
  IF(BP$4&gt;$P10,"-",
   CHOOSE(MATCH($H$3,リスト!$AE$3:$AE$5,0),
    ROUNDUP(
      BP10*IF(BP10*$I10&lt;=$L10,$J10,$I10)*
      IF($P10=1,
         $S10/12,
         IF(BP$4=1,
            $T10/12,
            IF(BP$4=$P10,
               $U10/12,
               1
      ))),0),
    ROUNDDOWN(
      BP10*IF(BP10*$I10&lt;=$L10,$J10,$I10)*
      IF($P10=1,
         $S10/12,
         IF(BP$4=1,
            $T10/12,
            IF(BP$4=$P10,
               $U10/12,
               1
      ))),0),
    ROUND(
      BP10*IF(BP10*$I10&lt;=$L10,$J10,$I10)*
      IF($P10=1,
         $S10/12,
         IF(BP$4=1,
            $T10/12,
            IF(BP$4=$P10,
               $U10/12,
               1
      ))),0)
))))</f>
        <v>-</v>
      </c>
      <c r="BR10" s="56" t="str">
        <f ca="1">IF($H10=リスト!$AA$4,"-",
   IF($C10="-","-",
     IF(BR$4&gt;$P10,"-",
       IF(BR$4=1,$E10,OFFSET(BR10,0,-2)-OFFSET(BR10,0,-1)
))))</f>
        <v>-</v>
      </c>
      <c r="BS10" s="57" t="str">
        <f>IF($H10=リスト!$AA$4,"-",
 IF($C10="-","-",
  IF(BR$4&gt;$P10,"-",
   CHOOSE(MATCH($H$3,リスト!$AE$3:$AE$5,0),
    ROUNDUP(
      BR10*IF(BR10*$I10&lt;=$L10,$J10,$I10)*
      IF($P10=1,
         $S10/12,
         IF(BR$4=1,
            $T10/12,
            IF(BR$4=$P10,
               $U10/12,
               1
      ))),0),
    ROUNDDOWN(
      BR10*IF(BR10*$I10&lt;=$L10,$J10,$I10)*
      IF($P10=1,
         $S10/12,
         IF(BR$4=1,
            $T10/12,
            IF(BR$4=$P10,
               $U10/12,
               1
      ))),0),
    ROUND(
      BR10*IF(BR10*$I10&lt;=$L10,$J10,$I10)*
      IF($P10=1,
         $S10/12,
         IF(BR$4=1,
            $T10/12,
            IF(BR$4=$P10,
               $U10/12,
               1
      ))),0)
))))</f>
        <v>-</v>
      </c>
      <c r="BT10" s="56" t="str">
        <f ca="1">IF($H10=リスト!$AA$4,"-",
   IF($C10="-","-",
     IF(BT$4&gt;$P10,"-",
       IF(BT$4=1,$E10,OFFSET(BT10,0,-2)-OFFSET(BT10,0,-1)
))))</f>
        <v>-</v>
      </c>
      <c r="BU10" s="57" t="str">
        <f>IF($H10=リスト!$AA$4,"-",
 IF($C10="-","-",
  IF(BT$4&gt;$P10,"-",
   CHOOSE(MATCH($H$3,リスト!$AE$3:$AE$5,0),
    ROUNDUP(
      BT10*IF(BT10*$I10&lt;=$L10,$J10,$I10)*
      IF($P10=1,
         $S10/12,
         IF(BT$4=1,
            $T10/12,
            IF(BT$4=$P10,
               $U10/12,
               1
      ))),0),
    ROUNDDOWN(
      BT10*IF(BT10*$I10&lt;=$L10,$J10,$I10)*
      IF($P10=1,
         $S10/12,
         IF(BT$4=1,
            $T10/12,
            IF(BT$4=$P10,
               $U10/12,
               1
      ))),0),
    ROUND(
      BT10*IF(BT10*$I10&lt;=$L10,$J10,$I10)*
      IF($P10=1,
         $S10/12,
         IF(BT$4=1,
            $T10/12,
            IF(BT$4=$P10,
               $U10/12,
               1
      ))),0)
))))</f>
        <v>-</v>
      </c>
      <c r="BV10" s="56" t="str">
        <f ca="1">IF($H10=リスト!$AA$4,"-",
   IF($C10="-","-",
     IF(BV$4&gt;$P10,"-",
       IF(BV$4=1,$E10,OFFSET(BV10,0,-2)-OFFSET(BV10,0,-1)
))))</f>
        <v>-</v>
      </c>
      <c r="BW10" s="57" t="str">
        <f>IF($H10=リスト!$AA$4,"-",
 IF($C10="-","-",
  IF(BV$4&gt;$P10,"-",
   CHOOSE(MATCH($H$3,リスト!$AE$3:$AE$5,0),
    ROUNDUP(
      BV10*IF(BV10*$I10&lt;=$L10,$J10,$I10)*
      IF($P10=1,
         $S10/12,
         IF(BV$4=1,
            $T10/12,
            IF(BV$4=$P10,
               $U10/12,
               1
      ))),0),
    ROUNDDOWN(
      BV10*IF(BV10*$I10&lt;=$L10,$J10,$I10)*
      IF($P10=1,
         $S10/12,
         IF(BV$4=1,
            $T10/12,
            IF(BV$4=$P10,
               $U10/12,
               1
      ))),0),
    ROUND(
      BV10*IF(BV10*$I10&lt;=$L10,$J10,$I10)*
      IF($P10=1,
         $S10/12,
         IF(BV$4=1,
            $T10/12,
            IF(BV$4=$P10,
               $U10/12,
               1
      ))),0)
))))</f>
        <v>-</v>
      </c>
      <c r="BX10" s="56" t="str">
        <f ca="1">IF($H10=リスト!$AA$4,"-",
   IF($C10="-","-",
     IF(BX$4&gt;$P10,"-",
       IF(BX$4=1,$E10,OFFSET(BX10,0,-2)-OFFSET(BX10,0,-1)
))))</f>
        <v>-</v>
      </c>
      <c r="BY10" s="57" t="str">
        <f>IF($H10=リスト!$AA$4,"-",
 IF($C10="-","-",
  IF(BX$4&gt;$P10,"-",
   CHOOSE(MATCH($H$3,リスト!$AE$3:$AE$5,0),
    ROUNDUP(
      BX10*IF(BX10*$I10&lt;=$L10,$J10,$I10)*
      IF($P10=1,
         $S10/12,
         IF(BX$4=1,
            $T10/12,
            IF(BX$4=$P10,
               $U10/12,
               1
      ))),0),
    ROUNDDOWN(
      BX10*IF(BX10*$I10&lt;=$L10,$J10,$I10)*
      IF($P10=1,
         $S10/12,
         IF(BX$4=1,
            $T10/12,
            IF(BX$4=$P10,
               $U10/12,
               1
      ))),0),
    ROUND(
      BX10*IF(BX10*$I10&lt;=$L10,$J10,$I10)*
      IF($P10=1,
         $S10/12,
         IF(BX$4=1,
            $T10/12,
            IF(BX$4=$P10,
               $U10/12,
               1
      ))),0)
))))</f>
        <v>-</v>
      </c>
      <c r="BZ10" s="56" t="str">
        <f ca="1">IF($H10=リスト!$AA$4,"-",
   IF($C10="-","-",
     IF(BZ$4&gt;$P10,"-",
       IF(BZ$4=1,$E10,OFFSET(BZ10,0,-2)-OFFSET(BZ10,0,-1)
))))</f>
        <v>-</v>
      </c>
      <c r="CA10" s="57" t="str">
        <f>IF($H10=リスト!$AA$4,"-",
 IF($C10="-","-",
  IF(BZ$4&gt;$P10,"-",
   CHOOSE(MATCH($H$3,リスト!$AE$3:$AE$5,0),
    ROUNDUP(
      BZ10*IF(BZ10*$I10&lt;=$L10,$J10,$I10)*
      IF($P10=1,
         $S10/12,
         IF(BZ$4=1,
            $T10/12,
            IF(BZ$4=$P10,
               $U10/12,
               1
      ))),0),
    ROUNDDOWN(
      BZ10*IF(BZ10*$I10&lt;=$L10,$J10,$I10)*
      IF($P10=1,
         $S10/12,
         IF(BZ$4=1,
            $T10/12,
            IF(BZ$4=$P10,
               $U10/12,
               1
      ))),0),
    ROUND(
      BZ10*IF(BZ10*$I10&lt;=$L10,$J10,$I10)*
      IF($P10=1,
         $S10/12,
         IF(BZ$4=1,
            $T10/12,
            IF(BZ$4=$P10,
               $U10/12,
               1
      ))),0)
))))</f>
        <v>-</v>
      </c>
      <c r="CB10" s="56" t="str">
        <f ca="1">IF($H10=リスト!$AA$4,"-",
   IF($C10="-","-",
     IF(CB$4&gt;$P10,"-",
       IF(CB$4=1,$E10,OFFSET(CB10,0,-2)-OFFSET(CB10,0,-1)
))))</f>
        <v>-</v>
      </c>
      <c r="CC10" s="57" t="str">
        <f>IF($H10=リスト!$AA$4,"-",
 IF($C10="-","-",
  IF(CB$4&gt;$P10,"-",
   CHOOSE(MATCH($H$3,リスト!$AE$3:$AE$5,0),
    ROUNDUP(
      CB10*IF(CB10*$I10&lt;=$L10,$J10,$I10)*
      IF($P10=1,
         $S10/12,
         IF(CB$4=1,
            $T10/12,
            IF(CB$4=$P10,
               $U10/12,
               1
      ))),0),
    ROUNDDOWN(
      CB10*IF(CB10*$I10&lt;=$L10,$J10,$I10)*
      IF($P10=1,
         $S10/12,
         IF(CB$4=1,
            $T10/12,
            IF(CB$4=$P10,
               $U10/12,
               1
      ))),0),
    ROUND(
      CB10*IF(CB10*$I10&lt;=$L10,$J10,$I10)*
      IF($P10=1,
         $S10/12,
         IF(CB$4=1,
            $T10/12,
            IF(CB$4=$P10,
               $U10/12,
               1
      ))),0)
))))</f>
        <v>-</v>
      </c>
      <c r="CD10" s="56" t="str">
        <f ca="1">IF($H10=リスト!$AA$4,"-",
   IF($C10="-","-",
     IF(CD$4&gt;$P10,"-",
       IF(CD$4=1,$E10,OFFSET(CD10,0,-2)-OFFSET(CD10,0,-1)
))))</f>
        <v>-</v>
      </c>
      <c r="CE10" s="57" t="str">
        <f>IF($H10=リスト!$AA$4,"-",
 IF($C10="-","-",
  IF(CD$4&gt;$P10,"-",
   CHOOSE(MATCH($H$3,リスト!$AE$3:$AE$5,0),
    ROUNDUP(
      CD10*IF(CD10*$I10&lt;=$L10,$J10,$I10)*
      IF($P10=1,
         $S10/12,
         IF(CD$4=1,
            $T10/12,
            IF(CD$4=$P10,
               $U10/12,
               1
      ))),0),
    ROUNDDOWN(
      CD10*IF(CD10*$I10&lt;=$L10,$J10,$I10)*
      IF($P10=1,
         $S10/12,
         IF(CD$4=1,
            $T10/12,
            IF(CD$4=$P10,
               $U10/12,
               1
      ))),0),
    ROUND(
      CD10*IF(CD10*$I10&lt;=$L10,$J10,$I10)*
      IF($P10=1,
         $S10/12,
         IF(CD$4=1,
            $T10/12,
            IF(CD$4=$P10,
               $U10/12,
               1
      ))),0)
))))</f>
        <v>-</v>
      </c>
      <c r="CF10" s="56" t="str">
        <f ca="1">IF($H10=リスト!$AA$4,"-",
   IF($C10="-","-",
     IF(CF$4&gt;$P10,"-",
       IF(CF$4=1,$E10,OFFSET(CF10,0,-2)-OFFSET(CF10,0,-1)
))))</f>
        <v>-</v>
      </c>
      <c r="CG10" s="57" t="str">
        <f>IF($H10=リスト!$AA$4,"-",
 IF($C10="-","-",
  IF(CF$4&gt;$P10,"-",
   CHOOSE(MATCH($H$3,リスト!$AE$3:$AE$5,0),
    ROUNDUP(
      CF10*IF(CF10*$I10&lt;=$L10,$J10,$I10)*
      IF($P10=1,
         $S10/12,
         IF(CF$4=1,
            $T10/12,
            IF(CF$4=$P10,
               $U10/12,
               1
      ))),0),
    ROUNDDOWN(
      CF10*IF(CF10*$I10&lt;=$L10,$J10,$I10)*
      IF($P10=1,
         $S10/12,
         IF(CF$4=1,
            $T10/12,
            IF(CF$4=$P10,
               $U10/12,
               1
      ))),0),
    ROUND(
      CF10*IF(CF10*$I10&lt;=$L10,$J10,$I10)*
      IF($P10=1,
         $S10/12,
         IF(CF$4=1,
            $T10/12,
            IF(CF$4=$P10,
               $U10/12,
               1
      ))),0)
))))</f>
        <v>-</v>
      </c>
      <c r="CH10" s="56" t="str">
        <f ca="1">IF($H10=リスト!$AA$4,"-",
   IF($C10="-","-",
     IF(CH$4&gt;$P10,"-",
       IF(CH$4=1,$E10,OFFSET(CH10,0,-2)-OFFSET(CH10,0,-1)
))))</f>
        <v>-</v>
      </c>
      <c r="CI10" s="57" t="str">
        <f>IF($H10=リスト!$AA$4,"-",
 IF($C10="-","-",
  IF(CH$4&gt;$P10,"-",
   CHOOSE(MATCH($H$3,リスト!$AE$3:$AE$5,0),
    ROUNDUP(
      CH10*IF(CH10*$I10&lt;=$L10,$J10,$I10)*
      IF($P10=1,
         $S10/12,
         IF(CH$4=1,
            $T10/12,
            IF(CH$4=$P10,
               $U10/12,
               1
      ))),0),
    ROUNDDOWN(
      CH10*IF(CH10*$I10&lt;=$L10,$J10,$I10)*
      IF($P10=1,
         $S10/12,
         IF(CH$4=1,
            $T10/12,
            IF(CH$4=$P10,
               $U10/12,
               1
      ))),0),
    ROUND(
      CH10*IF(CH10*$I10&lt;=$L10,$J10,$I10)*
      IF($P10=1,
         $S10/12,
         IF(CH$4=1,
            $T10/12,
            IF(CH$4=$P10,
               $U10/12,
               1
      ))),0)
))))</f>
        <v>-</v>
      </c>
      <c r="CJ10" s="56" t="str">
        <f ca="1">IF($H10=リスト!$AA$4,"-",
   IF($C10="-","-",
     IF(CJ$4&gt;$P10,"-",
       IF(CJ$4=1,$E10,OFFSET(CJ10,0,-2)-OFFSET(CJ10,0,-1)
))))</f>
        <v>-</v>
      </c>
      <c r="CK10" s="57" t="str">
        <f>IF($H10=リスト!$AA$4,"-",
 IF($C10="-","-",
  IF(CJ$4&gt;$P10,"-",
   CHOOSE(MATCH($H$3,リスト!$AE$3:$AE$5,0),
    ROUNDUP(
      CJ10*IF(CJ10*$I10&lt;=$L10,$J10,$I10)*
      IF($P10=1,
         $S10/12,
         IF(CJ$4=1,
            $T10/12,
            IF(CJ$4=$P10,
               $U10/12,
               1
      ))),0),
    ROUNDDOWN(
      CJ10*IF(CJ10*$I10&lt;=$L10,$J10,$I10)*
      IF($P10=1,
         $S10/12,
         IF(CJ$4=1,
            $T10/12,
            IF(CJ$4=$P10,
               $U10/12,
               1
      ))),0),
    ROUND(
      CJ10*IF(CJ10*$I10&lt;=$L10,$J10,$I10)*
      IF($P10=1,
         $S10/12,
         IF(CJ$4=1,
            $T10/12,
            IF(CJ$4=$P10,
               $U10/12,
               1
      ))),0)
))))</f>
        <v>-</v>
      </c>
      <c r="CL10" s="56" t="str">
        <f ca="1">IF($H10=リスト!$AA$4,"-",
   IF($C10="-","-",
     IF(CL$4&gt;$P10,"-",
       IF(CL$4=1,$E10,OFFSET(CL10,0,-2)-OFFSET(CL10,0,-1)
))))</f>
        <v>-</v>
      </c>
      <c r="CM10" s="57" t="str">
        <f>IF($H10=リスト!$AA$4,"-",
 IF($C10="-","-",
  IF(CL$4&gt;$P10,"-",
   CHOOSE(MATCH($H$3,リスト!$AE$3:$AE$5,0),
    ROUNDUP(
      CL10*IF(CL10*$I10&lt;=$L10,$J10,$I10)*
      IF($P10=1,
         $S10/12,
         IF(CL$4=1,
            $T10/12,
            IF(CL$4=$P10,
               $U10/12,
               1
      ))),0),
    ROUNDDOWN(
      CL10*IF(CL10*$I10&lt;=$L10,$J10,$I10)*
      IF($P10=1,
         $S10/12,
         IF(CL$4=1,
            $T10/12,
            IF(CL$4=$P10,
               $U10/12,
               1
      ))),0),
    ROUND(
      CL10*IF(CL10*$I10&lt;=$L10,$J10,$I10)*
      IF($P10=1,
         $S10/12,
         IF(CL$4=1,
            $T10/12,
            IF(CL$4=$P10,
               $U10/12,
               1
      ))),0)
))))</f>
        <v>-</v>
      </c>
      <c r="CN10" s="56" t="str">
        <f ca="1">IF($H10=リスト!$AA$4,"-",
   IF($C10="-","-",
     IF(CN$4&gt;$P10,"-",
       IF(CN$4=1,$E10,OFFSET(CN10,0,-2)-OFFSET(CN10,0,-1)
))))</f>
        <v>-</v>
      </c>
      <c r="CO10" s="57" t="str">
        <f>IF($H10=リスト!$AA$4,"-",
 IF($C10="-","-",
  IF(CN$4&gt;$P10,"-",
   CHOOSE(MATCH($H$3,リスト!$AE$3:$AE$5,0),
    ROUNDUP(
      CN10*IF(CN10*$I10&lt;=$L10,$J10,$I10)*
      IF($P10=1,
         $S10/12,
         IF(CN$4=1,
            $T10/12,
            IF(CN$4=$P10,
               $U10/12,
               1
      ))),0),
    ROUNDDOWN(
      CN10*IF(CN10*$I10&lt;=$L10,$J10,$I10)*
      IF($P10=1,
         $S10/12,
         IF(CN$4=1,
            $T10/12,
            IF(CN$4=$P10,
               $U10/12,
               1
      ))),0),
    ROUND(
      CN10*IF(CN10*$I10&lt;=$L10,$J10,$I10)*
      IF($P10=1,
         $S10/12,
         IF(CN$4=1,
            $T10/12,
            IF(CN$4=$P10,
               $U10/12,
               1
      ))),0)
))))</f>
        <v>-</v>
      </c>
      <c r="CP10" s="56" t="str">
        <f ca="1">IF($H10=リスト!$AA$4,"-",
   IF($C10="-","-",
     IF(CP$4&gt;$P10,"-",
       IF(CP$4=1,$E10,OFFSET(CP10,0,-2)-OFFSET(CP10,0,-1)
))))</f>
        <v>-</v>
      </c>
      <c r="CQ10" s="57" t="str">
        <f>IF($H10=リスト!$AA$4,"-",
 IF($C10="-","-",
  IF(CP$4&gt;$P10,"-",
   CHOOSE(MATCH($H$3,リスト!$AE$3:$AE$5,0),
    ROUNDUP(
      CP10*IF(CP10*$I10&lt;=$L10,$J10,$I10)*
      IF($P10=1,
         $S10/12,
         IF(CP$4=1,
            $T10/12,
            IF(CP$4=$P10,
               $U10/12,
               1
      ))),0),
    ROUNDDOWN(
      CP10*IF(CP10*$I10&lt;=$L10,$J10,$I10)*
      IF($P10=1,
         $S10/12,
         IF(CP$4=1,
            $T10/12,
            IF(CP$4=$P10,
               $U10/12,
               1
      ))),0),
    ROUND(
      CP10*IF(CP10*$I10&lt;=$L10,$J10,$I10)*
      IF($P10=1,
         $S10/12,
         IF(CP$4=1,
            $T10/12,
            IF(CP$4=$P10,
               $U10/12,
               1
      ))),0)
))))</f>
        <v>-</v>
      </c>
      <c r="CR10" s="56" t="str">
        <f ca="1">IF($H10=リスト!$AA$4,"-",
   IF($C10="-","-",
     IF(CR$4&gt;$P10,"-",
       IF(CR$4=1,$E10,OFFSET(CR10,0,-2)-OFFSET(CR10,0,-1)
))))</f>
        <v>-</v>
      </c>
      <c r="CS10" s="57" t="str">
        <f>IF($H10=リスト!$AA$4,"-",
 IF($C10="-","-",
  IF(CR$4&gt;$P10,"-",
   CHOOSE(MATCH($H$3,リスト!$AE$3:$AE$5,0),
    ROUNDUP(
      CR10*IF(CR10*$I10&lt;=$L10,$J10,$I10)*
      IF($P10=1,
         $S10/12,
         IF(CR$4=1,
            $T10/12,
            IF(CR$4=$P10,
               $U10/12,
               1
      ))),0),
    ROUNDDOWN(
      CR10*IF(CR10*$I10&lt;=$L10,$J10,$I10)*
      IF($P10=1,
         $S10/12,
         IF(CR$4=1,
            $T10/12,
            IF(CR$4=$P10,
               $U10/12,
               1
      ))),0),
    ROUND(
      CR10*IF(CR10*$I10&lt;=$L10,$J10,$I10)*
      IF($P10=1,
         $S10/12,
         IF(CR$4=1,
            $T10/12,
            IF(CR$4=$P10,
               $U10/12,
               1
      ))),0)
))))</f>
        <v>-</v>
      </c>
      <c r="CT10" s="56" t="str">
        <f ca="1">IF($H10=リスト!$AA$4,"-",
   IF($C10="-","-",
     IF(CT$4&gt;$P10,"-",
       IF(CT$4=1,$E10,OFFSET(CT10,0,-2)-OFFSET(CT10,0,-1)
))))</f>
        <v>-</v>
      </c>
      <c r="CU10" s="57" t="str">
        <f>IF($H10=リスト!$AA$4,"-",
 IF($C10="-","-",
  IF(CT$4&gt;$P10,"-",
   CHOOSE(MATCH($H$3,リスト!$AE$3:$AE$5,0),
    ROUNDUP(
      CT10*IF(CT10*$I10&lt;=$L10,$J10,$I10)*
      IF($P10=1,
         $S10/12,
         IF(CT$4=1,
            $T10/12,
            IF(CT$4=$P10,
               $U10/12,
               1
      ))),0),
    ROUNDDOWN(
      CT10*IF(CT10*$I10&lt;=$L10,$J10,$I10)*
      IF($P10=1,
         $S10/12,
         IF(CT$4=1,
            $T10/12,
            IF(CT$4=$P10,
               $U10/12,
               1
      ))),0),
    ROUND(
      CT10*IF(CT10*$I10&lt;=$L10,$J10,$I10)*
      IF($P10=1,
         $S10/12,
         IF(CT$4=1,
            $T10/12,
            IF(CT$4=$P10,
               $U10/12,
               1
      ))),0)
))))</f>
        <v>-</v>
      </c>
      <c r="CV10" s="56" t="str">
        <f ca="1">IF($H10=リスト!$AA$4,"-",
   IF($C10="-","-",
     IF(CV$4&gt;$P10,"-",
       IF(CV$4=1,$E10,OFFSET(CV10,0,-2)-OFFSET(CV10,0,-1)
))))</f>
        <v>-</v>
      </c>
      <c r="CW10" s="57" t="str">
        <f>IF($H10=リスト!$AA$4,"-",
 IF($C10="-","-",
  IF(CV$4&gt;$P10,"-",
   CHOOSE(MATCH($H$3,リスト!$AE$3:$AE$5,0),
    ROUNDUP(
      CV10*IF(CV10*$I10&lt;=$L10,$J10,$I10)*
      IF($P10=1,
         $S10/12,
         IF(CV$4=1,
            $T10/12,
            IF(CV$4=$P10,
               $U10/12,
               1
      ))),0),
    ROUNDDOWN(
      CV10*IF(CV10*$I10&lt;=$L10,$J10,$I10)*
      IF($P10=1,
         $S10/12,
         IF(CV$4=1,
            $T10/12,
            IF(CV$4=$P10,
               $U10/12,
               1
      ))),0),
    ROUND(
      CV10*IF(CV10*$I10&lt;=$L10,$J10,$I10)*
      IF($P10=1,
         $S10/12,
         IF(CV$4=1,
            $T10/12,
            IF(CV$4=$P10,
               $U10/12,
               1
      ))),0)
))))</f>
        <v>-</v>
      </c>
      <c r="CX10" s="56" t="str">
        <f ca="1">IF($H10=リスト!$AA$4,"-",
   IF($C10="-","-",
     IF(CX$4&gt;$P10,"-",
       IF(CX$4=1,$E10,OFFSET(CX10,0,-2)-OFFSET(CX10,0,-1)
))))</f>
        <v>-</v>
      </c>
      <c r="CY10" s="57" t="str">
        <f>IF($H10=リスト!$AA$4,"-",
 IF($C10="-","-",
  IF(CX$4&gt;$P10,"-",
   CHOOSE(MATCH($H$3,リスト!$AE$3:$AE$5,0),
    ROUNDUP(
      CX10*IF(CX10*$I10&lt;=$L10,$J10,$I10)*
      IF($P10=1,
         $S10/12,
         IF(CX$4=1,
            $T10/12,
            IF(CX$4=$P10,
               $U10/12,
               1
      ))),0),
    ROUNDDOWN(
      CX10*IF(CX10*$I10&lt;=$L10,$J10,$I10)*
      IF($P10=1,
         $S10/12,
         IF(CX$4=1,
            $T10/12,
            IF(CX$4=$P10,
               $U10/12,
               1
      ))),0),
    ROUND(
      CX10*IF(CX10*$I10&lt;=$L10,$J10,$I10)*
      IF($P10=1,
         $S10/12,
         IF(CX$4=1,
            $T10/12,
            IF(CX$4=$P10,
               $U10/12,
               1
      ))),0)
))))</f>
        <v>-</v>
      </c>
      <c r="CZ10" s="56" t="str">
        <f ca="1">IF($H10=リスト!$AA$4,"-",
   IF($C10="-","-",
     IF(CZ$4&gt;$P10,"-",
       IF(CZ$4=1,$E10,OFFSET(CZ10,0,-2)-OFFSET(CZ10,0,-1)
))))</f>
        <v>-</v>
      </c>
      <c r="DA10" s="57" t="str">
        <f>IF($H10=リスト!$AA$4,"-",
 IF($C10="-","-",
  IF(CZ$4&gt;$P10,"-",
   CHOOSE(MATCH($H$3,リスト!$AE$3:$AE$5,0),
    ROUNDUP(
      CZ10*IF(CZ10*$I10&lt;=$L10,$J10,$I10)*
      IF($P10=1,
         $S10/12,
         IF(CZ$4=1,
            $T10/12,
            IF(CZ$4=$P10,
               $U10/12,
               1
      ))),0),
    ROUNDDOWN(
      CZ10*IF(CZ10*$I10&lt;=$L10,$J10,$I10)*
      IF($P10=1,
         $S10/12,
         IF(CZ$4=1,
            $T10/12,
            IF(CZ$4=$P10,
               $U10/12,
               1
      ))),0),
    ROUND(
      CZ10*IF(CZ10*$I10&lt;=$L10,$J10,$I10)*
      IF($P10=1,
         $S10/12,
         IF(CZ$4=1,
            $T10/12,
            IF(CZ$4=$P10,
               $U10/12,
               1
      ))),0)
))))</f>
        <v>-</v>
      </c>
      <c r="DB10" s="56" t="str">
        <f ca="1">IF($H10=リスト!$AA$4,"-",
   IF($C10="-","-",
     IF(DB$4&gt;$P10,"-",
       IF(DB$4=1,$E10,OFFSET(DB10,0,-2)-OFFSET(DB10,0,-1)
))))</f>
        <v>-</v>
      </c>
      <c r="DC10" s="57" t="str">
        <f>IF($H10=リスト!$AA$4,"-",
 IF($C10="-","-",
  IF(DB$4&gt;$P10,"-",
   CHOOSE(MATCH($H$3,リスト!$AE$3:$AE$5,0),
    ROUNDUP(
      DB10*IF(DB10*$I10&lt;=$L10,$J10,$I10)*
      IF($P10=1,
         $S10/12,
         IF(DB$4=1,
            $T10/12,
            IF(DB$4=$P10,
               $U10/12,
               1
      ))),0),
    ROUNDDOWN(
      DB10*IF(DB10*$I10&lt;=$L10,$J10,$I10)*
      IF($P10=1,
         $S10/12,
         IF(DB$4=1,
            $T10/12,
            IF(DB$4=$P10,
               $U10/12,
               1
      ))),0),
    ROUND(
      DB10*IF(DB10*$I10&lt;=$L10,$J10,$I10)*
      IF($P10=1,
         $S10/12,
         IF(DB$4=1,
            $T10/12,
            IF(DB$4=$P10,
               $U10/12,
               1
      ))),0)
))))</f>
        <v>-</v>
      </c>
      <c r="DD10" s="56" t="str">
        <f ca="1">IF($H10=リスト!$AA$4,"-",
   IF($C10="-","-",
     IF(DD$4&gt;$P10,"-",
       IF(DD$4=1,$E10,OFFSET(DD10,0,-2)-OFFSET(DD10,0,-1)
))))</f>
        <v>-</v>
      </c>
      <c r="DE10" s="57" t="str">
        <f>IF($H10=リスト!$AA$4,"-",
 IF($C10="-","-",
  IF(DD$4&gt;$P10,"-",
   CHOOSE(MATCH($H$3,リスト!$AE$3:$AE$5,0),
    ROUNDUP(
      DD10*IF(DD10*$I10&lt;=$L10,$J10,$I10)*
      IF($P10=1,
         $S10/12,
         IF(DD$4=1,
            $T10/12,
            IF(DD$4=$P10,
               $U10/12,
               1
      ))),0),
    ROUNDDOWN(
      DD10*IF(DD10*$I10&lt;=$L10,$J10,$I10)*
      IF($P10=1,
         $S10/12,
         IF(DD$4=1,
            $T10/12,
            IF(DD$4=$P10,
               $U10/12,
               1
      ))),0),
    ROUND(
      DD10*IF(DD10*$I10&lt;=$L10,$J10,$I10)*
      IF($P10=1,
         $S10/12,
         IF(DD$4=1,
            $T10/12,
            IF(DD$4=$P10,
               $U10/12,
               1
      ))),0)
))))</f>
        <v>-</v>
      </c>
      <c r="DF10" s="56" t="str">
        <f ca="1">IF($H10=リスト!$AA$4,"-",
   IF($C10="-","-",
     IF(DF$4&gt;$P10,"-",
       IF(DF$4=1,$E10,OFFSET(DF10,0,-2)-OFFSET(DF10,0,-1)
))))</f>
        <v>-</v>
      </c>
      <c r="DG10" s="57" t="str">
        <f>IF($H10=リスト!$AA$4,"-",
 IF($C10="-","-",
  IF(DF$4&gt;$P10,"-",
   CHOOSE(MATCH($H$3,リスト!$AE$3:$AE$5,0),
    ROUNDUP(
      DF10*IF(DF10*$I10&lt;=$L10,$J10,$I10)*
      IF($P10=1,
         $S10/12,
         IF(DF$4=1,
            $T10/12,
            IF(DF$4=$P10,
               $U10/12,
               1
      ))),0),
    ROUNDDOWN(
      DF10*IF(DF10*$I10&lt;=$L10,$J10,$I10)*
      IF($P10=1,
         $S10/12,
         IF(DF$4=1,
            $T10/12,
            IF(DF$4=$P10,
               $U10/12,
               1
      ))),0),
    ROUND(
      DF10*IF(DF10*$I10&lt;=$L10,$J10,$I10)*
      IF($P10=1,
         $S10/12,
         IF(DF$4=1,
            $T10/12,
            IF(DF$4=$P10,
               $U10/12,
               1
      ))),0)
))))</f>
        <v>-</v>
      </c>
      <c r="DH10" s="56" t="str">
        <f ca="1">IF($H10=リスト!$AA$4,"-",
   IF($C10="-","-",
     IF(DH$4&gt;$P10,"-",
       IF(DH$4=1,$E10,OFFSET(DH10,0,-2)-OFFSET(DH10,0,-1)
))))</f>
        <v>-</v>
      </c>
      <c r="DI10" s="57" t="str">
        <f>IF($H10=リスト!$AA$4,"-",
 IF($C10="-","-",
  IF(DH$4&gt;$P10,"-",
   CHOOSE(MATCH($H$3,リスト!$AE$3:$AE$5,0),
    ROUNDUP(
      DH10*IF(DH10*$I10&lt;=$L10,$J10,$I10)*
      IF($P10=1,
         $S10/12,
         IF(DH$4=1,
            $T10/12,
            IF(DH$4=$P10,
               $U10/12,
               1
      ))),0),
    ROUNDDOWN(
      DH10*IF(DH10*$I10&lt;=$L10,$J10,$I10)*
      IF($P10=1,
         $S10/12,
         IF(DH$4=1,
            $T10/12,
            IF(DH$4=$P10,
               $U10/12,
               1
      ))),0),
    ROUND(
      DH10*IF(DH10*$I10&lt;=$L10,$J10,$I10)*
      IF($P10=1,
         $S10/12,
         IF(DH$4=1,
            $T10/12,
            IF(DH$4=$P10,
               $U10/12,
               1
      ))),0)
))))</f>
        <v>-</v>
      </c>
      <c r="DJ10" s="56" t="str">
        <f ca="1">IF($H10=リスト!$AA$4,"-",
   IF($C10="-","-",
     IF(DJ$4&gt;$P10,"-",
       IF(DJ$4=1,$E10,OFFSET(DJ10,0,-2)-OFFSET(DJ10,0,-1)
))))</f>
        <v>-</v>
      </c>
      <c r="DK10" s="57" t="str">
        <f>IF($H10=リスト!$AA$4,"-",
 IF($C10="-","-",
  IF(DJ$4&gt;$P10,"-",
   CHOOSE(MATCH($H$3,リスト!$AE$3:$AE$5,0),
    ROUNDUP(
      DJ10*IF(DJ10*$I10&lt;=$L10,$J10,$I10)*
      IF($P10=1,
         $S10/12,
         IF(DJ$4=1,
            $T10/12,
            IF(DJ$4=$P10,
               $U10/12,
               1
      ))),0),
    ROUNDDOWN(
      DJ10*IF(DJ10*$I10&lt;=$L10,$J10,$I10)*
      IF($P10=1,
         $S10/12,
         IF(DJ$4=1,
            $T10/12,
            IF(DJ$4=$P10,
               $U10/12,
               1
      ))),0),
    ROUND(
      DJ10*IF(DJ10*$I10&lt;=$L10,$J10,$I10)*
      IF($P10=1,
         $S10/12,
         IF(DJ$4=1,
            $T10/12,
            IF(DJ$4=$P10,
               $U10/12,
               1
      ))),0)
))))</f>
        <v>-</v>
      </c>
      <c r="DL10" s="56" t="str">
        <f ca="1">IF($H10=リスト!$AA$4,"-",
   IF($C10="-","-",
     IF(DL$4&gt;$P10,"-",
       IF(DL$4=1,$E10,OFFSET(DL10,0,-2)-OFFSET(DL10,0,-1)
))))</f>
        <v>-</v>
      </c>
      <c r="DM10" s="57" t="str">
        <f>IF($H10=リスト!$AA$4,"-",
 IF($C10="-","-",
  IF(DL$4&gt;$P10,"-",
   CHOOSE(MATCH($H$3,リスト!$AE$3:$AE$5,0),
    ROUNDUP(
      DL10*IF(DL10*$I10&lt;=$L10,$J10,$I10)*
      IF($P10=1,
         $S10/12,
         IF(DL$4=1,
            $T10/12,
            IF(DL$4=$P10,
               $U10/12,
               1
      ))),0),
    ROUNDDOWN(
      DL10*IF(DL10*$I10&lt;=$L10,$J10,$I10)*
      IF($P10=1,
         $S10/12,
         IF(DL$4=1,
            $T10/12,
            IF(DL$4=$P10,
               $U10/12,
               1
      ))),0),
    ROUND(
      DL10*IF(DL10*$I10&lt;=$L10,$J10,$I10)*
      IF($P10=1,
         $S10/12,
         IF(DL$4=1,
            $T10/12,
            IF(DL$4=$P10,
               $U10/12,
               1
      ))),0)
))))</f>
        <v>-</v>
      </c>
      <c r="DN10" s="56" t="str">
        <f ca="1">IF($H10=リスト!$AA$4,"-",
   IF($C10="-","-",
     IF(DN$4&gt;$P10,"-",
       IF(DN$4=1,$E10,OFFSET(DN10,0,-2)-OFFSET(DN10,0,-1)
))))</f>
        <v>-</v>
      </c>
      <c r="DO10" s="57" t="str">
        <f>IF($H10=リスト!$AA$4,"-",
 IF($C10="-","-",
  IF(DN$4&gt;$P10,"-",
   CHOOSE(MATCH($H$3,リスト!$AE$3:$AE$5,0),
    ROUNDUP(
      DN10*IF(DN10*$I10&lt;=$L10,$J10,$I10)*
      IF($P10=1,
         $S10/12,
         IF(DN$4=1,
            $T10/12,
            IF(DN$4=$P10,
               $U10/12,
               1
      ))),0),
    ROUNDDOWN(
      DN10*IF(DN10*$I10&lt;=$L10,$J10,$I10)*
      IF($P10=1,
         $S10/12,
         IF(DN$4=1,
            $T10/12,
            IF(DN$4=$P10,
               $U10/12,
               1
      ))),0),
    ROUND(
      DN10*IF(DN10*$I10&lt;=$L10,$J10,$I10)*
      IF($P10=1,
         $S10/12,
         IF(DN$4=1,
            $T10/12,
            IF(DN$4=$P10,
               $U10/12,
               1
      ))),0)
))))</f>
        <v>-</v>
      </c>
      <c r="DP10" s="56" t="str">
        <f ca="1">IF($H10=リスト!$AA$4,"-",
   IF($C10="-","-",
     IF(DP$4&gt;$P10,"-",
       IF(DP$4=1,$E10,OFFSET(DP10,0,-2)-OFFSET(DP10,0,-1)
))))</f>
        <v>-</v>
      </c>
      <c r="DQ10" s="57" t="str">
        <f>IF($H10=リスト!$AA$4,"-",
 IF($C10="-","-",
  IF(DP$4&gt;$P10,"-",
   CHOOSE(MATCH($H$3,リスト!$AE$3:$AE$5,0),
    ROUNDUP(
      DP10*IF(DP10*$I10&lt;=$L10,$J10,$I10)*
      IF($P10=1,
         $S10/12,
         IF(DP$4=1,
            $T10/12,
            IF(DP$4=$P10,
               $U10/12,
               1
      ))),0),
    ROUNDDOWN(
      DP10*IF(DP10*$I10&lt;=$L10,$J10,$I10)*
      IF($P10=1,
         $S10/12,
         IF(DP$4=1,
            $T10/12,
            IF(DP$4=$P10,
               $U10/12,
               1
      ))),0),
    ROUND(
      DP10*IF(DP10*$I10&lt;=$L10,$J10,$I10)*
      IF($P10=1,
         $S10/12,
         IF(DP$4=1,
            $T10/12,
            IF(DP$4=$P10,
               $U10/12,
               1
      ))),0)
))))</f>
        <v>-</v>
      </c>
      <c r="DR10" s="56" t="str">
        <f ca="1">IF($H10=リスト!$AA$4,"-",
   IF($C10="-","-",
     IF(DR$4&gt;$P10,"-",
       IF(DR$4=1,$E10,OFFSET(DR10,0,-2)-OFFSET(DR10,0,-1)
))))</f>
        <v>-</v>
      </c>
      <c r="DS10" s="57" t="str">
        <f>IF($H10=リスト!$AA$4,"-",
 IF($C10="-","-",
  IF(DR$4&gt;$P10,"-",
   CHOOSE(MATCH($H$3,リスト!$AE$3:$AE$5,0),
    ROUNDUP(
      DR10*IF(DR10*$I10&lt;=$L10,$J10,$I10)*
      IF($P10=1,
         $S10/12,
         IF(DR$4=1,
            $T10/12,
            IF(DR$4=$P10,
               $U10/12,
               1
      ))),0),
    ROUNDDOWN(
      DR10*IF(DR10*$I10&lt;=$L10,$J10,$I10)*
      IF($P10=1,
         $S10/12,
         IF(DR$4=1,
            $T10/12,
            IF(DR$4=$P10,
               $U10/12,
               1
      ))),0),
    ROUND(
      DR10*IF(DR10*$I10&lt;=$L10,$J10,$I10)*
      IF($P10=1,
         $S10/12,
         IF(DR$4=1,
            $T10/12,
            IF(DR$4=$P10,
               $U10/12,
               1
      ))),0)
))))</f>
        <v>-</v>
      </c>
      <c r="DT10" s="56" t="str" cm="1">
        <f t="array" ref="DT10">IF($H10&lt;&gt;リスト!$AA$3,"-",$E10-SUMPRODUCT(IFERROR($Y10:$DS10*1,0), --(MOD(COLUMN($Y10:$DS10)-COLUMN($Y10),2)=0)))</f>
        <v>-</v>
      </c>
      <c r="DU10" s="56" t="str">
        <f>IF($H10&lt;&gt;リスト!$AA$4,"-",
    IF($H$3=リスト!$AE$3,$E10-ROUNDUP($E10*I10*$W10/12,0),
    IF($H$3=リスト!$AE$4,$E10-ROUNDDOWN($E10*I10*$W10/12,0),
    IF($H$3=リスト!$AE$5,$E10-ROUND($E10*I10*$W10/12,0),
    "-"))))</f>
        <v>-</v>
      </c>
    </row>
    <row r="11" spans="2:125">
      <c r="B11" s="54">
        <v>6</v>
      </c>
      <c r="C11" s="55" t="str">
        <f>IF(財産処分報告用!$C11="","-",財産処分報告用!$C11)</f>
        <v>-</v>
      </c>
      <c r="D11" s="55" t="str">
        <f>財産処分報告用!$E11</f>
        <v>-</v>
      </c>
      <c r="E11" s="56" t="str">
        <f>IF(財産処分報告用!$J11="","-",財産処分報告用!$J11)</f>
        <v>-</v>
      </c>
      <c r="F11" s="101" t="str">
        <f>IF(財産処分報告用!$K11="","-",財産処分報告用!$K11)</f>
        <v>-</v>
      </c>
      <c r="G11" s="101" t="str">
        <f>IF(財産処分報告用!$L11="","-",財産処分報告用!$L11)</f>
        <v>-</v>
      </c>
      <c r="H11" s="55" t="str">
        <f>IF(財産処分報告用!$M11="","-",財産処分報告用!$M11)</f>
        <v>-</v>
      </c>
      <c r="I11" s="55" t="str">
        <f>IF(OR($D11="-",$H11="-"),"-",INDEX(リスト!$AG$2:$AI$101,MATCH($D11,リスト!$AG$2:$AG$101,0),MATCH($H11,リスト!$AG$2:$AI$2,0)))</f>
        <v>-</v>
      </c>
      <c r="J11" s="55" t="str">
        <f>IF(OR($D11="-",$H11="-"),"-",IF($H11=リスト!$AA$4,"-",INDEX(リスト!$AG$2:$AK$101,MATCH($D11,リスト!$AG$2:$AG$101,0),4)))</f>
        <v>-</v>
      </c>
      <c r="K11" s="55" t="str">
        <f>IF(OR($D11="-",$H11="-"),"-",IF($H11=リスト!$AA$4,"-",INDEX(リスト!$AG$2:$AK$101,MATCH($D11,リスト!$AG$2:$AG$101,0),5)))</f>
        <v>-</v>
      </c>
      <c r="L11" s="55" t="str">
        <f t="shared" si="0"/>
        <v>-</v>
      </c>
      <c r="M11" s="101" t="str">
        <f t="shared" si="1"/>
        <v>-</v>
      </c>
      <c r="N11" s="101" t="str">
        <f t="shared" si="2"/>
        <v>-</v>
      </c>
      <c r="O11" s="101" t="str">
        <f t="shared" si="3"/>
        <v>-</v>
      </c>
      <c r="P11" s="102" t="str">
        <f t="shared" si="4"/>
        <v>-</v>
      </c>
      <c r="Q11" s="115" t="str">
        <f t="shared" si="5"/>
        <v>-</v>
      </c>
      <c r="R11" s="116" t="str">
        <f t="shared" si="6"/>
        <v>-</v>
      </c>
      <c r="S11" s="102" t="str">
        <f t="shared" si="7"/>
        <v>-</v>
      </c>
      <c r="T11" s="102" t="str">
        <f t="shared" si="8"/>
        <v>-</v>
      </c>
      <c r="U11" s="102" t="str">
        <f t="shared" si="9"/>
        <v>-</v>
      </c>
      <c r="V11" s="102" t="str">
        <f t="shared" si="10"/>
        <v>-</v>
      </c>
      <c r="W11" s="55" t="str">
        <f t="shared" si="11"/>
        <v>-</v>
      </c>
      <c r="X11" s="56" t="str">
        <f ca="1">IF($H11=リスト!$AA$4,"-",
   IF($C11="-","-",
     IF(X$4&gt;$P11,"-",
       IF(X$4=1,$E11,OFFSET(X11,0,-2)-OFFSET(X11,0,-1)
))))</f>
        <v>-</v>
      </c>
      <c r="Y11" s="57" t="str">
        <f>IF($H11=リスト!$AA$4,"-",
 IF($C11="-","-",
  IF(X$4&gt;$P11,"-",
   CHOOSE(MATCH($H$3,リスト!$AE$3:$AE$5,0),
    ROUNDUP(
      X11*IF(X11*$I11&lt;=$L11,$J11,$I11)*
      IF($P11=1,
         $S11/12,
         IF(X$4=1,
            $T11/12,
            IF(X$4=$P11,
               $U11/12,
               1
      ))),0),
    ROUNDDOWN(
      X11*IF(X11*$I11&lt;=$L11,$J11,$I11)*
      IF($P11=1,
         $S11/12,
         IF(X$4=1,
            $T11/12,
            IF(X$4=$P11,
               $U11/12,
               1
      ))),0),
    ROUND(
      X11*IF(X11*$I11&lt;=$L11,$J11,$I11)*
      IF($P11=1,
         $S11/12,
         IF(X$4=1,
            $T11/12,
            IF(X$4=$P11,
               $U11/12,
               1
      ))),0)
))))</f>
        <v>-</v>
      </c>
      <c r="Z11" s="56" t="str">
        <f ca="1">IF($H11=リスト!$AA$4,"-",
   IF($C11="-","-",
     IF(Z$4&gt;$P11,"-",
       IF(Z$4=1,$E11,OFFSET(Z11,0,-2)-OFFSET(Z11,0,-1)
))))</f>
        <v>-</v>
      </c>
      <c r="AA11" s="57" t="str">
        <f>IF($H11=リスト!$AA$4,"-",
 IF($C11="-","-",
  IF(Z$4&gt;$P11,"-",
   CHOOSE(MATCH($H$3,リスト!$AE$3:$AE$5,0),
    ROUNDUP(
      Z11*IF(Z11*$I11&lt;=$L11,$J11,$I11)*
      IF($P11=1,
         $S11/12,
         IF(Z$4=1,
            $T11/12,
            IF(Z$4=$P11,
               $U11/12,
               1
      ))),0),
    ROUNDDOWN(
      Z11*IF(Z11*$I11&lt;=$L11,$J11,$I11)*
      IF($P11=1,
         $S11/12,
         IF(Z$4=1,
            $T11/12,
            IF(Z$4=$P11,
               $U11/12,
               1
      ))),0),
    ROUND(
      Z11*IF(Z11*$I11&lt;=$L11,$J11,$I11)*
      IF($P11=1,
         $S11/12,
         IF(Z$4=1,
            $T11/12,
            IF(Z$4=$P11,
               $U11/12,
               1
      ))),0)
))))</f>
        <v>-</v>
      </c>
      <c r="AB11" s="56" t="str">
        <f ca="1">IF($H11=リスト!$AA$4,"-",
   IF($C11="-","-",
     IF(AB$4&gt;$P11,"-",
       IF(AB$4=1,$E11,OFFSET(AB11,0,-2)-OFFSET(AB11,0,-1)
))))</f>
        <v>-</v>
      </c>
      <c r="AC11" s="57" t="str">
        <f>IF($H11=リスト!$AA$4,"-",
 IF($C11="-","-",
  IF(AB$4&gt;$P11,"-",
   CHOOSE(MATCH($H$3,リスト!$AE$3:$AE$5,0),
    ROUNDUP(
      AB11*IF(AB11*$I11&lt;=$L11,$J11,$I11)*
      IF($P11=1,
         $S11/12,
         IF(AB$4=1,
            $T11/12,
            IF(AB$4=$P11,
               $U11/12,
               1
      ))),0),
    ROUNDDOWN(
      AB11*IF(AB11*$I11&lt;=$L11,$J11,$I11)*
      IF($P11=1,
         $S11/12,
         IF(AB$4=1,
            $T11/12,
            IF(AB$4=$P11,
               $U11/12,
               1
      ))),0),
    ROUND(
      AB11*IF(AB11*$I11&lt;=$L11,$J11,$I11)*
      IF($P11=1,
         $S11/12,
         IF(AB$4=1,
            $T11/12,
            IF(AB$4=$P11,
               $U11/12,
               1
      ))),0)
))))</f>
        <v>-</v>
      </c>
      <c r="AD11" s="56" t="str">
        <f ca="1">IF($H11=リスト!$AA$4,"-",
   IF($C11="-","-",
     IF(AD$4&gt;$P11,"-",
       IF(AD$4=1,$E11,OFFSET(AD11,0,-2)-OFFSET(AD11,0,-1)
))))</f>
        <v>-</v>
      </c>
      <c r="AE11" s="57" t="str">
        <f>IF($H11=リスト!$AA$4,"-",
 IF($C11="-","-",
  IF(AD$4&gt;$P11,"-",
   CHOOSE(MATCH($H$3,リスト!$AE$3:$AE$5,0),
    ROUNDUP(
      AD11*IF(AD11*$I11&lt;=$L11,$J11,$I11)*
      IF($P11=1,
         $S11/12,
         IF(AD$4=1,
            $T11/12,
            IF(AD$4=$P11,
               $U11/12,
               1
      ))),0),
    ROUNDDOWN(
      AD11*IF(AD11*$I11&lt;=$L11,$J11,$I11)*
      IF($P11=1,
         $S11/12,
         IF(AD$4=1,
            $T11/12,
            IF(AD$4=$P11,
               $U11/12,
               1
      ))),0),
    ROUND(
      AD11*IF(AD11*$I11&lt;=$L11,$J11,$I11)*
      IF($P11=1,
         $S11/12,
         IF(AD$4=1,
            $T11/12,
            IF(AD$4=$P11,
               $U11/12,
               1
      ))),0)
))))</f>
        <v>-</v>
      </c>
      <c r="AF11" s="56" t="str">
        <f ca="1">IF($H11=リスト!$AA$4,"-",
   IF($C11="-","-",
     IF(AF$4&gt;$P11,"-",
       IF(AF$4=1,$E11,OFFSET(AF11,0,-2)-OFFSET(AF11,0,-1)
))))</f>
        <v>-</v>
      </c>
      <c r="AG11" s="57" t="str">
        <f>IF($H11=リスト!$AA$4,"-",
 IF($C11="-","-",
  IF(AF$4&gt;$P11,"-",
   CHOOSE(MATCH($H$3,リスト!$AE$3:$AE$5,0),
    ROUNDUP(
      AF11*IF(AF11*$I11&lt;=$L11,$J11,$I11)*
      IF($P11=1,
         $S11/12,
         IF(AF$4=1,
            $T11/12,
            IF(AF$4=$P11,
               $U11/12,
               1
      ))),0),
    ROUNDDOWN(
      AF11*IF(AF11*$I11&lt;=$L11,$J11,$I11)*
      IF($P11=1,
         $S11/12,
         IF(AF$4=1,
            $T11/12,
            IF(AF$4=$P11,
               $U11/12,
               1
      ))),0),
    ROUND(
      AF11*IF(AF11*$I11&lt;=$L11,$J11,$I11)*
      IF($P11=1,
         $S11/12,
         IF(AF$4=1,
            $T11/12,
            IF(AF$4=$P11,
               $U11/12,
               1
      ))),0)
))))</f>
        <v>-</v>
      </c>
      <c r="AH11" s="56" t="str">
        <f ca="1">IF($H11=リスト!$AA$4,"-",
   IF($C11="-","-",
     IF(AH$4&gt;$P11,"-",
       IF(AH$4=1,$E11,OFFSET(AH11,0,-2)-OFFSET(AH11,0,-1)
))))</f>
        <v>-</v>
      </c>
      <c r="AI11" s="57" t="str">
        <f>IF($H11=リスト!$AA$4,"-",
 IF($C11="-","-",
  IF(AH$4&gt;$P11,"-",
   CHOOSE(MATCH($H$3,リスト!$AE$3:$AE$5,0),
    ROUNDUP(
      AH11*IF(AH11*$I11&lt;=$L11,$J11,$I11)*
      IF($P11=1,
         $S11/12,
         IF(AH$4=1,
            $T11/12,
            IF(AH$4=$P11,
               $U11/12,
               1
      ))),0),
    ROUNDDOWN(
      AH11*IF(AH11*$I11&lt;=$L11,$J11,$I11)*
      IF($P11=1,
         $S11/12,
         IF(AH$4=1,
            $T11/12,
            IF(AH$4=$P11,
               $U11/12,
               1
      ))),0),
    ROUND(
      AH11*IF(AH11*$I11&lt;=$L11,$J11,$I11)*
      IF($P11=1,
         $S11/12,
         IF(AH$4=1,
            $T11/12,
            IF(AH$4=$P11,
               $U11/12,
               1
      ))),0)
))))</f>
        <v>-</v>
      </c>
      <c r="AJ11" s="56" t="str">
        <f ca="1">IF($H11=リスト!$AA$4,"-",
   IF($C11="-","-",
     IF(AJ$4&gt;$P11,"-",
       IF(AJ$4=1,$E11,OFFSET(AJ11,0,-2)-OFFSET(AJ11,0,-1)
))))</f>
        <v>-</v>
      </c>
      <c r="AK11" s="57" t="str">
        <f>IF($H11=リスト!$AA$4,"-",
 IF($C11="-","-",
  IF(AJ$4&gt;$P11,"-",
   CHOOSE(MATCH($H$3,リスト!$AE$3:$AE$5,0),
    ROUNDUP(
      AJ11*IF(AJ11*$I11&lt;=$L11,$J11,$I11)*
      IF($P11=1,
         $S11/12,
         IF(AJ$4=1,
            $T11/12,
            IF(AJ$4=$P11,
               $U11/12,
               1
      ))),0),
    ROUNDDOWN(
      AJ11*IF(AJ11*$I11&lt;=$L11,$J11,$I11)*
      IF($P11=1,
         $S11/12,
         IF(AJ$4=1,
            $T11/12,
            IF(AJ$4=$P11,
               $U11/12,
               1
      ))),0),
    ROUND(
      AJ11*IF(AJ11*$I11&lt;=$L11,$J11,$I11)*
      IF($P11=1,
         $S11/12,
         IF(AJ$4=1,
            $T11/12,
            IF(AJ$4=$P11,
               $U11/12,
               1
      ))),0)
))))</f>
        <v>-</v>
      </c>
      <c r="AL11" s="56" t="str">
        <f ca="1">IF($H11=リスト!$AA$4,"-",
   IF($C11="-","-",
     IF(AL$4&gt;$P11,"-",
       IF(AL$4=1,$E11,OFFSET(AL11,0,-2)-OFFSET(AL11,0,-1)
))))</f>
        <v>-</v>
      </c>
      <c r="AM11" s="57" t="str">
        <f>IF($H11=リスト!$AA$4,"-",
 IF($C11="-","-",
  IF(AL$4&gt;$P11,"-",
   CHOOSE(MATCH($H$3,リスト!$AE$3:$AE$5,0),
    ROUNDUP(
      AL11*IF(AL11*$I11&lt;=$L11,$J11,$I11)*
      IF($P11=1,
         $S11/12,
         IF(AL$4=1,
            $T11/12,
            IF(AL$4=$P11,
               $U11/12,
               1
      ))),0),
    ROUNDDOWN(
      AL11*IF(AL11*$I11&lt;=$L11,$J11,$I11)*
      IF($P11=1,
         $S11/12,
         IF(AL$4=1,
            $T11/12,
            IF(AL$4=$P11,
               $U11/12,
               1
      ))),0),
    ROUND(
      AL11*IF(AL11*$I11&lt;=$L11,$J11,$I11)*
      IF($P11=1,
         $S11/12,
         IF(AL$4=1,
            $T11/12,
            IF(AL$4=$P11,
               $U11/12,
               1
      ))),0)
))))</f>
        <v>-</v>
      </c>
      <c r="AN11" s="56" t="str">
        <f ca="1">IF($H11=リスト!$AA$4,"-",
   IF($C11="-","-",
     IF(AN$4&gt;$P11,"-",
       IF(AN$4=1,$E11,OFFSET(AN11,0,-2)-OFFSET(AN11,0,-1)
))))</f>
        <v>-</v>
      </c>
      <c r="AO11" s="57" t="str">
        <f>IF($H11=リスト!$AA$4,"-",
 IF($C11="-","-",
  IF(AN$4&gt;$P11,"-",
   CHOOSE(MATCH($H$3,リスト!$AE$3:$AE$5,0),
    ROUNDUP(
      AN11*IF(AN11*$I11&lt;=$L11,$J11,$I11)*
      IF($P11=1,
         $S11/12,
         IF(AN$4=1,
            $T11/12,
            IF(AN$4=$P11,
               $U11/12,
               1
      ))),0),
    ROUNDDOWN(
      AN11*IF(AN11*$I11&lt;=$L11,$J11,$I11)*
      IF($P11=1,
         $S11/12,
         IF(AN$4=1,
            $T11/12,
            IF(AN$4=$P11,
               $U11/12,
               1
      ))),0),
    ROUND(
      AN11*IF(AN11*$I11&lt;=$L11,$J11,$I11)*
      IF($P11=1,
         $S11/12,
         IF(AN$4=1,
            $T11/12,
            IF(AN$4=$P11,
               $U11/12,
               1
      ))),0)
))))</f>
        <v>-</v>
      </c>
      <c r="AP11" s="56" t="str">
        <f ca="1">IF($H11=リスト!$AA$4,"-",
   IF($C11="-","-",
     IF(AP$4&gt;$P11,"-",
       IF(AP$4=1,$E11,OFFSET(AP11,0,-2)-OFFSET(AP11,0,-1)
))))</f>
        <v>-</v>
      </c>
      <c r="AQ11" s="57" t="str">
        <f>IF($H11=リスト!$AA$4,"-",
 IF($C11="-","-",
  IF(AP$4&gt;$P11,"-",
   CHOOSE(MATCH($H$3,リスト!$AE$3:$AE$5,0),
    ROUNDUP(
      AP11*IF(AP11*$I11&lt;=$L11,$J11,$I11)*
      IF($P11=1,
         $S11/12,
         IF(AP$4=1,
            $T11/12,
            IF(AP$4=$P11,
               $U11/12,
               1
      ))),0),
    ROUNDDOWN(
      AP11*IF(AP11*$I11&lt;=$L11,$J11,$I11)*
      IF($P11=1,
         $S11/12,
         IF(AP$4=1,
            $T11/12,
            IF(AP$4=$P11,
               $U11/12,
               1
      ))),0),
    ROUND(
      AP11*IF(AP11*$I11&lt;=$L11,$J11,$I11)*
      IF($P11=1,
         $S11/12,
         IF(AP$4=1,
            $T11/12,
            IF(AP$4=$P11,
               $U11/12,
               1
      ))),0)
))))</f>
        <v>-</v>
      </c>
      <c r="AR11" s="56" t="str">
        <f ca="1">IF($H11=リスト!$AA$4,"-",
   IF($C11="-","-",
     IF(AR$4&gt;$P11,"-",
       IF(AR$4=1,$E11,OFFSET(AR11,0,-2)-OFFSET(AR11,0,-1)
))))</f>
        <v>-</v>
      </c>
      <c r="AS11" s="57" t="str">
        <f>IF($H11=リスト!$AA$4,"-",
 IF($C11="-","-",
  IF(AR$4&gt;$P11,"-",
   CHOOSE(MATCH($H$3,リスト!$AE$3:$AE$5,0),
    ROUNDUP(
      AR11*IF(AR11*$I11&lt;=$L11,$J11,$I11)*
      IF($P11=1,
         $S11/12,
         IF(AR$4=1,
            $T11/12,
            IF(AR$4=$P11,
               $U11/12,
               1
      ))),0),
    ROUNDDOWN(
      AR11*IF(AR11*$I11&lt;=$L11,$J11,$I11)*
      IF($P11=1,
         $S11/12,
         IF(AR$4=1,
            $T11/12,
            IF(AR$4=$P11,
               $U11/12,
               1
      ))),0),
    ROUND(
      AR11*IF(AR11*$I11&lt;=$L11,$J11,$I11)*
      IF($P11=1,
         $S11/12,
         IF(AR$4=1,
            $T11/12,
            IF(AR$4=$P11,
               $U11/12,
               1
      ))),0)
))))</f>
        <v>-</v>
      </c>
      <c r="AT11" s="56" t="str">
        <f ca="1">IF($H11=リスト!$AA$4,"-",
   IF($C11="-","-",
     IF(AT$4&gt;$P11,"-",
       IF(AT$4=1,$E11,OFFSET(AT11,0,-2)-OFFSET(AT11,0,-1)
))))</f>
        <v>-</v>
      </c>
      <c r="AU11" s="57" t="str">
        <f>IF($H11=リスト!$AA$4,"-",
 IF($C11="-","-",
  IF(AT$4&gt;$P11,"-",
   CHOOSE(MATCH($H$3,リスト!$AE$3:$AE$5,0),
    ROUNDUP(
      AT11*IF(AT11*$I11&lt;=$L11,$J11,$I11)*
      IF($P11=1,
         $S11/12,
         IF(AT$4=1,
            $T11/12,
            IF(AT$4=$P11,
               $U11/12,
               1
      ))),0),
    ROUNDDOWN(
      AT11*IF(AT11*$I11&lt;=$L11,$J11,$I11)*
      IF($P11=1,
         $S11/12,
         IF(AT$4=1,
            $T11/12,
            IF(AT$4=$P11,
               $U11/12,
               1
      ))),0),
    ROUND(
      AT11*IF(AT11*$I11&lt;=$L11,$J11,$I11)*
      IF($P11=1,
         $S11/12,
         IF(AT$4=1,
            $T11/12,
            IF(AT$4=$P11,
               $U11/12,
               1
      ))),0)
))))</f>
        <v>-</v>
      </c>
      <c r="AV11" s="56" t="str">
        <f ca="1">IF($H11=リスト!$AA$4,"-",
   IF($C11="-","-",
     IF(AV$4&gt;$P11,"-",
       IF(AV$4=1,$E11,OFFSET(AV11,0,-2)-OFFSET(AV11,0,-1)
))))</f>
        <v>-</v>
      </c>
      <c r="AW11" s="57" t="str">
        <f>IF($H11=リスト!$AA$4,"-",
 IF($C11="-","-",
  IF(AV$4&gt;$P11,"-",
   CHOOSE(MATCH($H$3,リスト!$AE$3:$AE$5,0),
    ROUNDUP(
      AV11*IF(AV11*$I11&lt;=$L11,$J11,$I11)*
      IF($P11=1,
         $S11/12,
         IF(AV$4=1,
            $T11/12,
            IF(AV$4=$P11,
               $U11/12,
               1
      ))),0),
    ROUNDDOWN(
      AV11*IF(AV11*$I11&lt;=$L11,$J11,$I11)*
      IF($P11=1,
         $S11/12,
         IF(AV$4=1,
            $T11/12,
            IF(AV$4=$P11,
               $U11/12,
               1
      ))),0),
    ROUND(
      AV11*IF(AV11*$I11&lt;=$L11,$J11,$I11)*
      IF($P11=1,
         $S11/12,
         IF(AV$4=1,
            $T11/12,
            IF(AV$4=$P11,
               $U11/12,
               1
      ))),0)
))))</f>
        <v>-</v>
      </c>
      <c r="AX11" s="56" t="str">
        <f ca="1">IF($H11=リスト!$AA$4,"-",
   IF($C11="-","-",
     IF(AX$4&gt;$P11,"-",
       IF(AX$4=1,$E11,OFFSET(AX11,0,-2)-OFFSET(AX11,0,-1)
))))</f>
        <v>-</v>
      </c>
      <c r="AY11" s="57" t="str">
        <f>IF($H11=リスト!$AA$4,"-",
 IF($C11="-","-",
  IF(AX$4&gt;$P11,"-",
   CHOOSE(MATCH($H$3,リスト!$AE$3:$AE$5,0),
    ROUNDUP(
      AX11*IF(AX11*$I11&lt;=$L11,$J11,$I11)*
      IF($P11=1,
         $S11/12,
         IF(AX$4=1,
            $T11/12,
            IF(AX$4=$P11,
               $U11/12,
               1
      ))),0),
    ROUNDDOWN(
      AX11*IF(AX11*$I11&lt;=$L11,$J11,$I11)*
      IF($P11=1,
         $S11/12,
         IF(AX$4=1,
            $T11/12,
            IF(AX$4=$P11,
               $U11/12,
               1
      ))),0),
    ROUND(
      AX11*IF(AX11*$I11&lt;=$L11,$J11,$I11)*
      IF($P11=1,
         $S11/12,
         IF(AX$4=1,
            $T11/12,
            IF(AX$4=$P11,
               $U11/12,
               1
      ))),0)
))))</f>
        <v>-</v>
      </c>
      <c r="AZ11" s="56" t="str">
        <f ca="1">IF($H11=リスト!$AA$4,"-",
   IF($C11="-","-",
     IF(AZ$4&gt;$P11,"-",
       IF(AZ$4=1,$E11,OFFSET(AZ11,0,-2)-OFFSET(AZ11,0,-1)
))))</f>
        <v>-</v>
      </c>
      <c r="BA11" s="57" t="str">
        <f>IF($H11=リスト!$AA$4,"-",
 IF($C11="-","-",
  IF(AZ$4&gt;$P11,"-",
   CHOOSE(MATCH($H$3,リスト!$AE$3:$AE$5,0),
    ROUNDUP(
      AZ11*IF(AZ11*$I11&lt;=$L11,$J11,$I11)*
      IF($P11=1,
         $S11/12,
         IF(AZ$4=1,
            $T11/12,
            IF(AZ$4=$P11,
               $U11/12,
               1
      ))),0),
    ROUNDDOWN(
      AZ11*IF(AZ11*$I11&lt;=$L11,$J11,$I11)*
      IF($P11=1,
         $S11/12,
         IF(AZ$4=1,
            $T11/12,
            IF(AZ$4=$P11,
               $U11/12,
               1
      ))),0),
    ROUND(
      AZ11*IF(AZ11*$I11&lt;=$L11,$J11,$I11)*
      IF($P11=1,
         $S11/12,
         IF(AZ$4=1,
            $T11/12,
            IF(AZ$4=$P11,
               $U11/12,
               1
      ))),0)
))))</f>
        <v>-</v>
      </c>
      <c r="BB11" s="56" t="str">
        <f ca="1">IF($H11=リスト!$AA$4,"-",
   IF($C11="-","-",
     IF(BB$4&gt;$P11,"-",
       IF(BB$4=1,$E11,OFFSET(BB11,0,-2)-OFFSET(BB11,0,-1)
))))</f>
        <v>-</v>
      </c>
      <c r="BC11" s="57" t="str">
        <f>IF($H11=リスト!$AA$4,"-",
 IF($C11="-","-",
  IF(BB$4&gt;$P11,"-",
   CHOOSE(MATCH($H$3,リスト!$AE$3:$AE$5,0),
    ROUNDUP(
      BB11*IF(BB11*$I11&lt;=$L11,$J11,$I11)*
      IF($P11=1,
         $S11/12,
         IF(BB$4=1,
            $T11/12,
            IF(BB$4=$P11,
               $U11/12,
               1
      ))),0),
    ROUNDDOWN(
      BB11*IF(BB11*$I11&lt;=$L11,$J11,$I11)*
      IF($P11=1,
         $S11/12,
         IF(BB$4=1,
            $T11/12,
            IF(BB$4=$P11,
               $U11/12,
               1
      ))),0),
    ROUND(
      BB11*IF(BB11*$I11&lt;=$L11,$J11,$I11)*
      IF($P11=1,
         $S11/12,
         IF(BB$4=1,
            $T11/12,
            IF(BB$4=$P11,
               $U11/12,
               1
      ))),0)
))))</f>
        <v>-</v>
      </c>
      <c r="BD11" s="56" t="str">
        <f ca="1">IF($H11=リスト!$AA$4,"-",
   IF($C11="-","-",
     IF(BD$4&gt;$P11,"-",
       IF(BD$4=1,$E11,OFFSET(BD11,0,-2)-OFFSET(BD11,0,-1)
))))</f>
        <v>-</v>
      </c>
      <c r="BE11" s="57" t="str">
        <f>IF($H11=リスト!$AA$4,"-",
 IF($C11="-","-",
  IF(BD$4&gt;$P11,"-",
   CHOOSE(MATCH($H$3,リスト!$AE$3:$AE$5,0),
    ROUNDUP(
      BD11*IF(BD11*$I11&lt;=$L11,$J11,$I11)*
      IF($P11=1,
         $S11/12,
         IF(BD$4=1,
            $T11/12,
            IF(BD$4=$P11,
               $U11/12,
               1
      ))),0),
    ROUNDDOWN(
      BD11*IF(BD11*$I11&lt;=$L11,$J11,$I11)*
      IF($P11=1,
         $S11/12,
         IF(BD$4=1,
            $T11/12,
            IF(BD$4=$P11,
               $U11/12,
               1
      ))),0),
    ROUND(
      BD11*IF(BD11*$I11&lt;=$L11,$J11,$I11)*
      IF($P11=1,
         $S11/12,
         IF(BD$4=1,
            $T11/12,
            IF(BD$4=$P11,
               $U11/12,
               1
      ))),0)
))))</f>
        <v>-</v>
      </c>
      <c r="BF11" s="56" t="str">
        <f ca="1">IF($H11=リスト!$AA$4,"-",
   IF($C11="-","-",
     IF(BF$4&gt;$P11,"-",
       IF(BF$4=1,$E11,OFFSET(BF11,0,-2)-OFFSET(BF11,0,-1)
))))</f>
        <v>-</v>
      </c>
      <c r="BG11" s="57" t="str">
        <f>IF($H11=リスト!$AA$4,"-",
 IF($C11="-","-",
  IF(BF$4&gt;$P11,"-",
   CHOOSE(MATCH($H$3,リスト!$AE$3:$AE$5,0),
    ROUNDUP(
      BF11*IF(BF11*$I11&lt;=$L11,$J11,$I11)*
      IF($P11=1,
         $S11/12,
         IF(BF$4=1,
            $T11/12,
            IF(BF$4=$P11,
               $U11/12,
               1
      ))),0),
    ROUNDDOWN(
      BF11*IF(BF11*$I11&lt;=$L11,$J11,$I11)*
      IF($P11=1,
         $S11/12,
         IF(BF$4=1,
            $T11/12,
            IF(BF$4=$P11,
               $U11/12,
               1
      ))),0),
    ROUND(
      BF11*IF(BF11*$I11&lt;=$L11,$J11,$I11)*
      IF($P11=1,
         $S11/12,
         IF(BF$4=1,
            $T11/12,
            IF(BF$4=$P11,
               $U11/12,
               1
      ))),0)
))))</f>
        <v>-</v>
      </c>
      <c r="BH11" s="56" t="str">
        <f ca="1">IF($H11=リスト!$AA$4,"-",
   IF($C11="-","-",
     IF(BH$4&gt;$P11,"-",
       IF(BH$4=1,$E11,OFFSET(BH11,0,-2)-OFFSET(BH11,0,-1)
))))</f>
        <v>-</v>
      </c>
      <c r="BI11" s="57" t="str">
        <f>IF($H11=リスト!$AA$4,"-",
 IF($C11="-","-",
  IF(BH$4&gt;$P11,"-",
   CHOOSE(MATCH($H$3,リスト!$AE$3:$AE$5,0),
    ROUNDUP(
      BH11*IF(BH11*$I11&lt;=$L11,$J11,$I11)*
      IF($P11=1,
         $S11/12,
         IF(BH$4=1,
            $T11/12,
            IF(BH$4=$P11,
               $U11/12,
               1
      ))),0),
    ROUNDDOWN(
      BH11*IF(BH11*$I11&lt;=$L11,$J11,$I11)*
      IF($P11=1,
         $S11/12,
         IF(BH$4=1,
            $T11/12,
            IF(BH$4=$P11,
               $U11/12,
               1
      ))),0),
    ROUND(
      BH11*IF(BH11*$I11&lt;=$L11,$J11,$I11)*
      IF($P11=1,
         $S11/12,
         IF(BH$4=1,
            $T11/12,
            IF(BH$4=$P11,
               $U11/12,
               1
      ))),0)
))))</f>
        <v>-</v>
      </c>
      <c r="BJ11" s="56" t="str">
        <f ca="1">IF($H11=リスト!$AA$4,"-",
   IF($C11="-","-",
     IF(BJ$4&gt;$P11,"-",
       IF(BJ$4=1,$E11,OFFSET(BJ11,0,-2)-OFFSET(BJ11,0,-1)
))))</f>
        <v>-</v>
      </c>
      <c r="BK11" s="57" t="str">
        <f>IF($H11=リスト!$AA$4,"-",
 IF($C11="-","-",
  IF(BJ$4&gt;$P11,"-",
   CHOOSE(MATCH($H$3,リスト!$AE$3:$AE$5,0),
    ROUNDUP(
      BJ11*IF(BJ11*$I11&lt;=$L11,$J11,$I11)*
      IF($P11=1,
         $S11/12,
         IF(BJ$4=1,
            $T11/12,
            IF(BJ$4=$P11,
               $U11/12,
               1
      ))),0),
    ROUNDDOWN(
      BJ11*IF(BJ11*$I11&lt;=$L11,$J11,$I11)*
      IF($P11=1,
         $S11/12,
         IF(BJ$4=1,
            $T11/12,
            IF(BJ$4=$P11,
               $U11/12,
               1
      ))),0),
    ROUND(
      BJ11*IF(BJ11*$I11&lt;=$L11,$J11,$I11)*
      IF($P11=1,
         $S11/12,
         IF(BJ$4=1,
            $T11/12,
            IF(BJ$4=$P11,
               $U11/12,
               1
      ))),0)
))))</f>
        <v>-</v>
      </c>
      <c r="BL11" s="56" t="str">
        <f ca="1">IF($H11=リスト!$AA$4,"-",
   IF($C11="-","-",
     IF(BL$4&gt;$P11,"-",
       IF(BL$4=1,$E11,OFFSET(BL11,0,-2)-OFFSET(BL11,0,-1)
))))</f>
        <v>-</v>
      </c>
      <c r="BM11" s="57" t="str">
        <f>IF($H11=リスト!$AA$4,"-",
 IF($C11="-","-",
  IF(BL$4&gt;$P11,"-",
   CHOOSE(MATCH($H$3,リスト!$AE$3:$AE$5,0),
    ROUNDUP(
      BL11*IF(BL11*$I11&lt;=$L11,$J11,$I11)*
      IF($P11=1,
         $S11/12,
         IF(BL$4=1,
            $T11/12,
            IF(BL$4=$P11,
               $U11/12,
               1
      ))),0),
    ROUNDDOWN(
      BL11*IF(BL11*$I11&lt;=$L11,$J11,$I11)*
      IF($P11=1,
         $S11/12,
         IF(BL$4=1,
            $T11/12,
            IF(BL$4=$P11,
               $U11/12,
               1
      ))),0),
    ROUND(
      BL11*IF(BL11*$I11&lt;=$L11,$J11,$I11)*
      IF($P11=1,
         $S11/12,
         IF(BL$4=1,
            $T11/12,
            IF(BL$4=$P11,
               $U11/12,
               1
      ))),0)
))))</f>
        <v>-</v>
      </c>
      <c r="BN11" s="56" t="str">
        <f ca="1">IF($H11=リスト!$AA$4,"-",
   IF($C11="-","-",
     IF(BN$4&gt;$P11,"-",
       IF(BN$4=1,$E11,OFFSET(BN11,0,-2)-OFFSET(BN11,0,-1)
))))</f>
        <v>-</v>
      </c>
      <c r="BO11" s="57" t="str">
        <f>IF($H11=リスト!$AA$4,"-",
 IF($C11="-","-",
  IF(BN$4&gt;$P11,"-",
   CHOOSE(MATCH($H$3,リスト!$AE$3:$AE$5,0),
    ROUNDUP(
      BN11*IF(BN11*$I11&lt;=$L11,$J11,$I11)*
      IF($P11=1,
         $S11/12,
         IF(BN$4=1,
            $T11/12,
            IF(BN$4=$P11,
               $U11/12,
               1
      ))),0),
    ROUNDDOWN(
      BN11*IF(BN11*$I11&lt;=$L11,$J11,$I11)*
      IF($P11=1,
         $S11/12,
         IF(BN$4=1,
            $T11/12,
            IF(BN$4=$P11,
               $U11/12,
               1
      ))),0),
    ROUND(
      BN11*IF(BN11*$I11&lt;=$L11,$J11,$I11)*
      IF($P11=1,
         $S11/12,
         IF(BN$4=1,
            $T11/12,
            IF(BN$4=$P11,
               $U11/12,
               1
      ))),0)
))))</f>
        <v>-</v>
      </c>
      <c r="BP11" s="56" t="str">
        <f ca="1">IF($H11=リスト!$AA$4,"-",
   IF($C11="-","-",
     IF(BP$4&gt;$P11,"-",
       IF(BP$4=1,$E11,OFFSET(BP11,0,-2)-OFFSET(BP11,0,-1)
))))</f>
        <v>-</v>
      </c>
      <c r="BQ11" s="57" t="str">
        <f>IF($H11=リスト!$AA$4,"-",
 IF($C11="-","-",
  IF(BP$4&gt;$P11,"-",
   CHOOSE(MATCH($H$3,リスト!$AE$3:$AE$5,0),
    ROUNDUP(
      BP11*IF(BP11*$I11&lt;=$L11,$J11,$I11)*
      IF($P11=1,
         $S11/12,
         IF(BP$4=1,
            $T11/12,
            IF(BP$4=$P11,
               $U11/12,
               1
      ))),0),
    ROUNDDOWN(
      BP11*IF(BP11*$I11&lt;=$L11,$J11,$I11)*
      IF($P11=1,
         $S11/12,
         IF(BP$4=1,
            $T11/12,
            IF(BP$4=$P11,
               $U11/12,
               1
      ))),0),
    ROUND(
      BP11*IF(BP11*$I11&lt;=$L11,$J11,$I11)*
      IF($P11=1,
         $S11/12,
         IF(BP$4=1,
            $T11/12,
            IF(BP$4=$P11,
               $U11/12,
               1
      ))),0)
))))</f>
        <v>-</v>
      </c>
      <c r="BR11" s="56" t="str">
        <f ca="1">IF($H11=リスト!$AA$4,"-",
   IF($C11="-","-",
     IF(BR$4&gt;$P11,"-",
       IF(BR$4=1,$E11,OFFSET(BR11,0,-2)-OFFSET(BR11,0,-1)
))))</f>
        <v>-</v>
      </c>
      <c r="BS11" s="57" t="str">
        <f>IF($H11=リスト!$AA$4,"-",
 IF($C11="-","-",
  IF(BR$4&gt;$P11,"-",
   CHOOSE(MATCH($H$3,リスト!$AE$3:$AE$5,0),
    ROUNDUP(
      BR11*IF(BR11*$I11&lt;=$L11,$J11,$I11)*
      IF($P11=1,
         $S11/12,
         IF(BR$4=1,
            $T11/12,
            IF(BR$4=$P11,
               $U11/12,
               1
      ))),0),
    ROUNDDOWN(
      BR11*IF(BR11*$I11&lt;=$L11,$J11,$I11)*
      IF($P11=1,
         $S11/12,
         IF(BR$4=1,
            $T11/12,
            IF(BR$4=$P11,
               $U11/12,
               1
      ))),0),
    ROUND(
      BR11*IF(BR11*$I11&lt;=$L11,$J11,$I11)*
      IF($P11=1,
         $S11/12,
         IF(BR$4=1,
            $T11/12,
            IF(BR$4=$P11,
               $U11/12,
               1
      ))),0)
))))</f>
        <v>-</v>
      </c>
      <c r="BT11" s="56" t="str">
        <f ca="1">IF($H11=リスト!$AA$4,"-",
   IF($C11="-","-",
     IF(BT$4&gt;$P11,"-",
       IF(BT$4=1,$E11,OFFSET(BT11,0,-2)-OFFSET(BT11,0,-1)
))))</f>
        <v>-</v>
      </c>
      <c r="BU11" s="57" t="str">
        <f>IF($H11=リスト!$AA$4,"-",
 IF($C11="-","-",
  IF(BT$4&gt;$P11,"-",
   CHOOSE(MATCH($H$3,リスト!$AE$3:$AE$5,0),
    ROUNDUP(
      BT11*IF(BT11*$I11&lt;=$L11,$J11,$I11)*
      IF($P11=1,
         $S11/12,
         IF(BT$4=1,
            $T11/12,
            IF(BT$4=$P11,
               $U11/12,
               1
      ))),0),
    ROUNDDOWN(
      BT11*IF(BT11*$I11&lt;=$L11,$J11,$I11)*
      IF($P11=1,
         $S11/12,
         IF(BT$4=1,
            $T11/12,
            IF(BT$4=$P11,
               $U11/12,
               1
      ))),0),
    ROUND(
      BT11*IF(BT11*$I11&lt;=$L11,$J11,$I11)*
      IF($P11=1,
         $S11/12,
         IF(BT$4=1,
            $T11/12,
            IF(BT$4=$P11,
               $U11/12,
               1
      ))),0)
))))</f>
        <v>-</v>
      </c>
      <c r="BV11" s="56" t="str">
        <f ca="1">IF($H11=リスト!$AA$4,"-",
   IF($C11="-","-",
     IF(BV$4&gt;$P11,"-",
       IF(BV$4=1,$E11,OFFSET(BV11,0,-2)-OFFSET(BV11,0,-1)
))))</f>
        <v>-</v>
      </c>
      <c r="BW11" s="57" t="str">
        <f>IF($H11=リスト!$AA$4,"-",
 IF($C11="-","-",
  IF(BV$4&gt;$P11,"-",
   CHOOSE(MATCH($H$3,リスト!$AE$3:$AE$5,0),
    ROUNDUP(
      BV11*IF(BV11*$I11&lt;=$L11,$J11,$I11)*
      IF($P11=1,
         $S11/12,
         IF(BV$4=1,
            $T11/12,
            IF(BV$4=$P11,
               $U11/12,
               1
      ))),0),
    ROUNDDOWN(
      BV11*IF(BV11*$I11&lt;=$L11,$J11,$I11)*
      IF($P11=1,
         $S11/12,
         IF(BV$4=1,
            $T11/12,
            IF(BV$4=$P11,
               $U11/12,
               1
      ))),0),
    ROUND(
      BV11*IF(BV11*$I11&lt;=$L11,$J11,$I11)*
      IF($P11=1,
         $S11/12,
         IF(BV$4=1,
            $T11/12,
            IF(BV$4=$P11,
               $U11/12,
               1
      ))),0)
))))</f>
        <v>-</v>
      </c>
      <c r="BX11" s="56" t="str">
        <f ca="1">IF($H11=リスト!$AA$4,"-",
   IF($C11="-","-",
     IF(BX$4&gt;$P11,"-",
       IF(BX$4=1,$E11,OFFSET(BX11,0,-2)-OFFSET(BX11,0,-1)
))))</f>
        <v>-</v>
      </c>
      <c r="BY11" s="57" t="str">
        <f>IF($H11=リスト!$AA$4,"-",
 IF($C11="-","-",
  IF(BX$4&gt;$P11,"-",
   CHOOSE(MATCH($H$3,リスト!$AE$3:$AE$5,0),
    ROUNDUP(
      BX11*IF(BX11*$I11&lt;=$L11,$J11,$I11)*
      IF($P11=1,
         $S11/12,
         IF(BX$4=1,
            $T11/12,
            IF(BX$4=$P11,
               $U11/12,
               1
      ))),0),
    ROUNDDOWN(
      BX11*IF(BX11*$I11&lt;=$L11,$J11,$I11)*
      IF($P11=1,
         $S11/12,
         IF(BX$4=1,
            $T11/12,
            IF(BX$4=$P11,
               $U11/12,
               1
      ))),0),
    ROUND(
      BX11*IF(BX11*$I11&lt;=$L11,$J11,$I11)*
      IF($P11=1,
         $S11/12,
         IF(BX$4=1,
            $T11/12,
            IF(BX$4=$P11,
               $U11/12,
               1
      ))),0)
))))</f>
        <v>-</v>
      </c>
      <c r="BZ11" s="56" t="str">
        <f ca="1">IF($H11=リスト!$AA$4,"-",
   IF($C11="-","-",
     IF(BZ$4&gt;$P11,"-",
       IF(BZ$4=1,$E11,OFFSET(BZ11,0,-2)-OFFSET(BZ11,0,-1)
))))</f>
        <v>-</v>
      </c>
      <c r="CA11" s="57" t="str">
        <f>IF($H11=リスト!$AA$4,"-",
 IF($C11="-","-",
  IF(BZ$4&gt;$P11,"-",
   CHOOSE(MATCH($H$3,リスト!$AE$3:$AE$5,0),
    ROUNDUP(
      BZ11*IF(BZ11*$I11&lt;=$L11,$J11,$I11)*
      IF($P11=1,
         $S11/12,
         IF(BZ$4=1,
            $T11/12,
            IF(BZ$4=$P11,
               $U11/12,
               1
      ))),0),
    ROUNDDOWN(
      BZ11*IF(BZ11*$I11&lt;=$L11,$J11,$I11)*
      IF($P11=1,
         $S11/12,
         IF(BZ$4=1,
            $T11/12,
            IF(BZ$4=$P11,
               $U11/12,
               1
      ))),0),
    ROUND(
      BZ11*IF(BZ11*$I11&lt;=$L11,$J11,$I11)*
      IF($P11=1,
         $S11/12,
         IF(BZ$4=1,
            $T11/12,
            IF(BZ$4=$P11,
               $U11/12,
               1
      ))),0)
))))</f>
        <v>-</v>
      </c>
      <c r="CB11" s="56" t="str">
        <f ca="1">IF($H11=リスト!$AA$4,"-",
   IF($C11="-","-",
     IF(CB$4&gt;$P11,"-",
       IF(CB$4=1,$E11,OFFSET(CB11,0,-2)-OFFSET(CB11,0,-1)
))))</f>
        <v>-</v>
      </c>
      <c r="CC11" s="57" t="str">
        <f>IF($H11=リスト!$AA$4,"-",
 IF($C11="-","-",
  IF(CB$4&gt;$P11,"-",
   CHOOSE(MATCH($H$3,リスト!$AE$3:$AE$5,0),
    ROUNDUP(
      CB11*IF(CB11*$I11&lt;=$L11,$J11,$I11)*
      IF($P11=1,
         $S11/12,
         IF(CB$4=1,
            $T11/12,
            IF(CB$4=$P11,
               $U11/12,
               1
      ))),0),
    ROUNDDOWN(
      CB11*IF(CB11*$I11&lt;=$L11,$J11,$I11)*
      IF($P11=1,
         $S11/12,
         IF(CB$4=1,
            $T11/12,
            IF(CB$4=$P11,
               $U11/12,
               1
      ))),0),
    ROUND(
      CB11*IF(CB11*$I11&lt;=$L11,$J11,$I11)*
      IF($P11=1,
         $S11/12,
         IF(CB$4=1,
            $T11/12,
            IF(CB$4=$P11,
               $U11/12,
               1
      ))),0)
))))</f>
        <v>-</v>
      </c>
      <c r="CD11" s="56" t="str">
        <f ca="1">IF($H11=リスト!$AA$4,"-",
   IF($C11="-","-",
     IF(CD$4&gt;$P11,"-",
       IF(CD$4=1,$E11,OFFSET(CD11,0,-2)-OFFSET(CD11,0,-1)
))))</f>
        <v>-</v>
      </c>
      <c r="CE11" s="57" t="str">
        <f>IF($H11=リスト!$AA$4,"-",
 IF($C11="-","-",
  IF(CD$4&gt;$P11,"-",
   CHOOSE(MATCH($H$3,リスト!$AE$3:$AE$5,0),
    ROUNDUP(
      CD11*IF(CD11*$I11&lt;=$L11,$J11,$I11)*
      IF($P11=1,
         $S11/12,
         IF(CD$4=1,
            $T11/12,
            IF(CD$4=$P11,
               $U11/12,
               1
      ))),0),
    ROUNDDOWN(
      CD11*IF(CD11*$I11&lt;=$L11,$J11,$I11)*
      IF($P11=1,
         $S11/12,
         IF(CD$4=1,
            $T11/12,
            IF(CD$4=$P11,
               $U11/12,
               1
      ))),0),
    ROUND(
      CD11*IF(CD11*$I11&lt;=$L11,$J11,$I11)*
      IF($P11=1,
         $S11/12,
         IF(CD$4=1,
            $T11/12,
            IF(CD$4=$P11,
               $U11/12,
               1
      ))),0)
))))</f>
        <v>-</v>
      </c>
      <c r="CF11" s="56" t="str">
        <f ca="1">IF($H11=リスト!$AA$4,"-",
   IF($C11="-","-",
     IF(CF$4&gt;$P11,"-",
       IF(CF$4=1,$E11,OFFSET(CF11,0,-2)-OFFSET(CF11,0,-1)
))))</f>
        <v>-</v>
      </c>
      <c r="CG11" s="57" t="str">
        <f>IF($H11=リスト!$AA$4,"-",
 IF($C11="-","-",
  IF(CF$4&gt;$P11,"-",
   CHOOSE(MATCH($H$3,リスト!$AE$3:$AE$5,0),
    ROUNDUP(
      CF11*IF(CF11*$I11&lt;=$L11,$J11,$I11)*
      IF($P11=1,
         $S11/12,
         IF(CF$4=1,
            $T11/12,
            IF(CF$4=$P11,
               $U11/12,
               1
      ))),0),
    ROUNDDOWN(
      CF11*IF(CF11*$I11&lt;=$L11,$J11,$I11)*
      IF($P11=1,
         $S11/12,
         IF(CF$4=1,
            $T11/12,
            IF(CF$4=$P11,
               $U11/12,
               1
      ))),0),
    ROUND(
      CF11*IF(CF11*$I11&lt;=$L11,$J11,$I11)*
      IF($P11=1,
         $S11/12,
         IF(CF$4=1,
            $T11/12,
            IF(CF$4=$P11,
               $U11/12,
               1
      ))),0)
))))</f>
        <v>-</v>
      </c>
      <c r="CH11" s="56" t="str">
        <f ca="1">IF($H11=リスト!$AA$4,"-",
   IF($C11="-","-",
     IF(CH$4&gt;$P11,"-",
       IF(CH$4=1,$E11,OFFSET(CH11,0,-2)-OFFSET(CH11,0,-1)
))))</f>
        <v>-</v>
      </c>
      <c r="CI11" s="57" t="str">
        <f>IF($H11=リスト!$AA$4,"-",
 IF($C11="-","-",
  IF(CH$4&gt;$P11,"-",
   CHOOSE(MATCH($H$3,リスト!$AE$3:$AE$5,0),
    ROUNDUP(
      CH11*IF(CH11*$I11&lt;=$L11,$J11,$I11)*
      IF($P11=1,
         $S11/12,
         IF(CH$4=1,
            $T11/12,
            IF(CH$4=$P11,
               $U11/12,
               1
      ))),0),
    ROUNDDOWN(
      CH11*IF(CH11*$I11&lt;=$L11,$J11,$I11)*
      IF($P11=1,
         $S11/12,
         IF(CH$4=1,
            $T11/12,
            IF(CH$4=$P11,
               $U11/12,
               1
      ))),0),
    ROUND(
      CH11*IF(CH11*$I11&lt;=$L11,$J11,$I11)*
      IF($P11=1,
         $S11/12,
         IF(CH$4=1,
            $T11/12,
            IF(CH$4=$P11,
               $U11/12,
               1
      ))),0)
))))</f>
        <v>-</v>
      </c>
      <c r="CJ11" s="56" t="str">
        <f ca="1">IF($H11=リスト!$AA$4,"-",
   IF($C11="-","-",
     IF(CJ$4&gt;$P11,"-",
       IF(CJ$4=1,$E11,OFFSET(CJ11,0,-2)-OFFSET(CJ11,0,-1)
))))</f>
        <v>-</v>
      </c>
      <c r="CK11" s="57" t="str">
        <f>IF($H11=リスト!$AA$4,"-",
 IF($C11="-","-",
  IF(CJ$4&gt;$P11,"-",
   CHOOSE(MATCH($H$3,リスト!$AE$3:$AE$5,0),
    ROUNDUP(
      CJ11*IF(CJ11*$I11&lt;=$L11,$J11,$I11)*
      IF($P11=1,
         $S11/12,
         IF(CJ$4=1,
            $T11/12,
            IF(CJ$4=$P11,
               $U11/12,
               1
      ))),0),
    ROUNDDOWN(
      CJ11*IF(CJ11*$I11&lt;=$L11,$J11,$I11)*
      IF($P11=1,
         $S11/12,
         IF(CJ$4=1,
            $T11/12,
            IF(CJ$4=$P11,
               $U11/12,
               1
      ))),0),
    ROUND(
      CJ11*IF(CJ11*$I11&lt;=$L11,$J11,$I11)*
      IF($P11=1,
         $S11/12,
         IF(CJ$4=1,
            $T11/12,
            IF(CJ$4=$P11,
               $U11/12,
               1
      ))),0)
))))</f>
        <v>-</v>
      </c>
      <c r="CL11" s="56" t="str">
        <f ca="1">IF($H11=リスト!$AA$4,"-",
   IF($C11="-","-",
     IF(CL$4&gt;$P11,"-",
       IF(CL$4=1,$E11,OFFSET(CL11,0,-2)-OFFSET(CL11,0,-1)
))))</f>
        <v>-</v>
      </c>
      <c r="CM11" s="57" t="str">
        <f>IF($H11=リスト!$AA$4,"-",
 IF($C11="-","-",
  IF(CL$4&gt;$P11,"-",
   CHOOSE(MATCH($H$3,リスト!$AE$3:$AE$5,0),
    ROUNDUP(
      CL11*IF(CL11*$I11&lt;=$L11,$J11,$I11)*
      IF($P11=1,
         $S11/12,
         IF(CL$4=1,
            $T11/12,
            IF(CL$4=$P11,
               $U11/12,
               1
      ))),0),
    ROUNDDOWN(
      CL11*IF(CL11*$I11&lt;=$L11,$J11,$I11)*
      IF($P11=1,
         $S11/12,
         IF(CL$4=1,
            $T11/12,
            IF(CL$4=$P11,
               $U11/12,
               1
      ))),0),
    ROUND(
      CL11*IF(CL11*$I11&lt;=$L11,$J11,$I11)*
      IF($P11=1,
         $S11/12,
         IF(CL$4=1,
            $T11/12,
            IF(CL$4=$P11,
               $U11/12,
               1
      ))),0)
))))</f>
        <v>-</v>
      </c>
      <c r="CN11" s="56" t="str">
        <f ca="1">IF($H11=リスト!$AA$4,"-",
   IF($C11="-","-",
     IF(CN$4&gt;$P11,"-",
       IF(CN$4=1,$E11,OFFSET(CN11,0,-2)-OFFSET(CN11,0,-1)
))))</f>
        <v>-</v>
      </c>
      <c r="CO11" s="57" t="str">
        <f>IF($H11=リスト!$AA$4,"-",
 IF($C11="-","-",
  IF(CN$4&gt;$P11,"-",
   CHOOSE(MATCH($H$3,リスト!$AE$3:$AE$5,0),
    ROUNDUP(
      CN11*IF(CN11*$I11&lt;=$L11,$J11,$I11)*
      IF($P11=1,
         $S11/12,
         IF(CN$4=1,
            $T11/12,
            IF(CN$4=$P11,
               $U11/12,
               1
      ))),0),
    ROUNDDOWN(
      CN11*IF(CN11*$I11&lt;=$L11,$J11,$I11)*
      IF($P11=1,
         $S11/12,
         IF(CN$4=1,
            $T11/12,
            IF(CN$4=$P11,
               $U11/12,
               1
      ))),0),
    ROUND(
      CN11*IF(CN11*$I11&lt;=$L11,$J11,$I11)*
      IF($P11=1,
         $S11/12,
         IF(CN$4=1,
            $T11/12,
            IF(CN$4=$P11,
               $U11/12,
               1
      ))),0)
))))</f>
        <v>-</v>
      </c>
      <c r="CP11" s="56" t="str">
        <f ca="1">IF($H11=リスト!$AA$4,"-",
   IF($C11="-","-",
     IF(CP$4&gt;$P11,"-",
       IF(CP$4=1,$E11,OFFSET(CP11,0,-2)-OFFSET(CP11,0,-1)
))))</f>
        <v>-</v>
      </c>
      <c r="CQ11" s="57" t="str">
        <f>IF($H11=リスト!$AA$4,"-",
 IF($C11="-","-",
  IF(CP$4&gt;$P11,"-",
   CHOOSE(MATCH($H$3,リスト!$AE$3:$AE$5,0),
    ROUNDUP(
      CP11*IF(CP11*$I11&lt;=$L11,$J11,$I11)*
      IF($P11=1,
         $S11/12,
         IF(CP$4=1,
            $T11/12,
            IF(CP$4=$P11,
               $U11/12,
               1
      ))),0),
    ROUNDDOWN(
      CP11*IF(CP11*$I11&lt;=$L11,$J11,$I11)*
      IF($P11=1,
         $S11/12,
         IF(CP$4=1,
            $T11/12,
            IF(CP$4=$P11,
               $U11/12,
               1
      ))),0),
    ROUND(
      CP11*IF(CP11*$I11&lt;=$L11,$J11,$I11)*
      IF($P11=1,
         $S11/12,
         IF(CP$4=1,
            $T11/12,
            IF(CP$4=$P11,
               $U11/12,
               1
      ))),0)
))))</f>
        <v>-</v>
      </c>
      <c r="CR11" s="56" t="str">
        <f ca="1">IF($H11=リスト!$AA$4,"-",
   IF($C11="-","-",
     IF(CR$4&gt;$P11,"-",
       IF(CR$4=1,$E11,OFFSET(CR11,0,-2)-OFFSET(CR11,0,-1)
))))</f>
        <v>-</v>
      </c>
      <c r="CS11" s="57" t="str">
        <f>IF($H11=リスト!$AA$4,"-",
 IF($C11="-","-",
  IF(CR$4&gt;$P11,"-",
   CHOOSE(MATCH($H$3,リスト!$AE$3:$AE$5,0),
    ROUNDUP(
      CR11*IF(CR11*$I11&lt;=$L11,$J11,$I11)*
      IF($P11=1,
         $S11/12,
         IF(CR$4=1,
            $T11/12,
            IF(CR$4=$P11,
               $U11/12,
               1
      ))),0),
    ROUNDDOWN(
      CR11*IF(CR11*$I11&lt;=$L11,$J11,$I11)*
      IF($P11=1,
         $S11/12,
         IF(CR$4=1,
            $T11/12,
            IF(CR$4=$P11,
               $U11/12,
               1
      ))),0),
    ROUND(
      CR11*IF(CR11*$I11&lt;=$L11,$J11,$I11)*
      IF($P11=1,
         $S11/12,
         IF(CR$4=1,
            $T11/12,
            IF(CR$4=$P11,
               $U11/12,
               1
      ))),0)
))))</f>
        <v>-</v>
      </c>
      <c r="CT11" s="56" t="str">
        <f ca="1">IF($H11=リスト!$AA$4,"-",
   IF($C11="-","-",
     IF(CT$4&gt;$P11,"-",
       IF(CT$4=1,$E11,OFFSET(CT11,0,-2)-OFFSET(CT11,0,-1)
))))</f>
        <v>-</v>
      </c>
      <c r="CU11" s="57" t="str">
        <f>IF($H11=リスト!$AA$4,"-",
 IF($C11="-","-",
  IF(CT$4&gt;$P11,"-",
   CHOOSE(MATCH($H$3,リスト!$AE$3:$AE$5,0),
    ROUNDUP(
      CT11*IF(CT11*$I11&lt;=$L11,$J11,$I11)*
      IF($P11=1,
         $S11/12,
         IF(CT$4=1,
            $T11/12,
            IF(CT$4=$P11,
               $U11/12,
               1
      ))),0),
    ROUNDDOWN(
      CT11*IF(CT11*$I11&lt;=$L11,$J11,$I11)*
      IF($P11=1,
         $S11/12,
         IF(CT$4=1,
            $T11/12,
            IF(CT$4=$P11,
               $U11/12,
               1
      ))),0),
    ROUND(
      CT11*IF(CT11*$I11&lt;=$L11,$J11,$I11)*
      IF($P11=1,
         $S11/12,
         IF(CT$4=1,
            $T11/12,
            IF(CT$4=$P11,
               $U11/12,
               1
      ))),0)
))))</f>
        <v>-</v>
      </c>
      <c r="CV11" s="56" t="str">
        <f ca="1">IF($H11=リスト!$AA$4,"-",
   IF($C11="-","-",
     IF(CV$4&gt;$P11,"-",
       IF(CV$4=1,$E11,OFFSET(CV11,0,-2)-OFFSET(CV11,0,-1)
))))</f>
        <v>-</v>
      </c>
      <c r="CW11" s="57" t="str">
        <f>IF($H11=リスト!$AA$4,"-",
 IF($C11="-","-",
  IF(CV$4&gt;$P11,"-",
   CHOOSE(MATCH($H$3,リスト!$AE$3:$AE$5,0),
    ROUNDUP(
      CV11*IF(CV11*$I11&lt;=$L11,$J11,$I11)*
      IF($P11=1,
         $S11/12,
         IF(CV$4=1,
            $T11/12,
            IF(CV$4=$P11,
               $U11/12,
               1
      ))),0),
    ROUNDDOWN(
      CV11*IF(CV11*$I11&lt;=$L11,$J11,$I11)*
      IF($P11=1,
         $S11/12,
         IF(CV$4=1,
            $T11/12,
            IF(CV$4=$P11,
               $U11/12,
               1
      ))),0),
    ROUND(
      CV11*IF(CV11*$I11&lt;=$L11,$J11,$I11)*
      IF($P11=1,
         $S11/12,
         IF(CV$4=1,
            $T11/12,
            IF(CV$4=$P11,
               $U11/12,
               1
      ))),0)
))))</f>
        <v>-</v>
      </c>
      <c r="CX11" s="56" t="str">
        <f ca="1">IF($H11=リスト!$AA$4,"-",
   IF($C11="-","-",
     IF(CX$4&gt;$P11,"-",
       IF(CX$4=1,$E11,OFFSET(CX11,0,-2)-OFFSET(CX11,0,-1)
))))</f>
        <v>-</v>
      </c>
      <c r="CY11" s="57" t="str">
        <f>IF($H11=リスト!$AA$4,"-",
 IF($C11="-","-",
  IF(CX$4&gt;$P11,"-",
   CHOOSE(MATCH($H$3,リスト!$AE$3:$AE$5,0),
    ROUNDUP(
      CX11*IF(CX11*$I11&lt;=$L11,$J11,$I11)*
      IF($P11=1,
         $S11/12,
         IF(CX$4=1,
            $T11/12,
            IF(CX$4=$P11,
               $U11/12,
               1
      ))),0),
    ROUNDDOWN(
      CX11*IF(CX11*$I11&lt;=$L11,$J11,$I11)*
      IF($P11=1,
         $S11/12,
         IF(CX$4=1,
            $T11/12,
            IF(CX$4=$P11,
               $U11/12,
               1
      ))),0),
    ROUND(
      CX11*IF(CX11*$I11&lt;=$L11,$J11,$I11)*
      IF($P11=1,
         $S11/12,
         IF(CX$4=1,
            $T11/12,
            IF(CX$4=$P11,
               $U11/12,
               1
      ))),0)
))))</f>
        <v>-</v>
      </c>
      <c r="CZ11" s="56" t="str">
        <f ca="1">IF($H11=リスト!$AA$4,"-",
   IF($C11="-","-",
     IF(CZ$4&gt;$P11,"-",
       IF(CZ$4=1,$E11,OFFSET(CZ11,0,-2)-OFFSET(CZ11,0,-1)
))))</f>
        <v>-</v>
      </c>
      <c r="DA11" s="57" t="str">
        <f>IF($H11=リスト!$AA$4,"-",
 IF($C11="-","-",
  IF(CZ$4&gt;$P11,"-",
   CHOOSE(MATCH($H$3,リスト!$AE$3:$AE$5,0),
    ROUNDUP(
      CZ11*IF(CZ11*$I11&lt;=$L11,$J11,$I11)*
      IF($P11=1,
         $S11/12,
         IF(CZ$4=1,
            $T11/12,
            IF(CZ$4=$P11,
               $U11/12,
               1
      ))),0),
    ROUNDDOWN(
      CZ11*IF(CZ11*$I11&lt;=$L11,$J11,$I11)*
      IF($P11=1,
         $S11/12,
         IF(CZ$4=1,
            $T11/12,
            IF(CZ$4=$P11,
               $U11/12,
               1
      ))),0),
    ROUND(
      CZ11*IF(CZ11*$I11&lt;=$L11,$J11,$I11)*
      IF($P11=1,
         $S11/12,
         IF(CZ$4=1,
            $T11/12,
            IF(CZ$4=$P11,
               $U11/12,
               1
      ))),0)
))))</f>
        <v>-</v>
      </c>
      <c r="DB11" s="56" t="str">
        <f ca="1">IF($H11=リスト!$AA$4,"-",
   IF($C11="-","-",
     IF(DB$4&gt;$P11,"-",
       IF(DB$4=1,$E11,OFFSET(DB11,0,-2)-OFFSET(DB11,0,-1)
))))</f>
        <v>-</v>
      </c>
      <c r="DC11" s="57" t="str">
        <f>IF($H11=リスト!$AA$4,"-",
 IF($C11="-","-",
  IF(DB$4&gt;$P11,"-",
   CHOOSE(MATCH($H$3,リスト!$AE$3:$AE$5,0),
    ROUNDUP(
      DB11*IF(DB11*$I11&lt;=$L11,$J11,$I11)*
      IF($P11=1,
         $S11/12,
         IF(DB$4=1,
            $T11/12,
            IF(DB$4=$P11,
               $U11/12,
               1
      ))),0),
    ROUNDDOWN(
      DB11*IF(DB11*$I11&lt;=$L11,$J11,$I11)*
      IF($P11=1,
         $S11/12,
         IF(DB$4=1,
            $T11/12,
            IF(DB$4=$P11,
               $U11/12,
               1
      ))),0),
    ROUND(
      DB11*IF(DB11*$I11&lt;=$L11,$J11,$I11)*
      IF($P11=1,
         $S11/12,
         IF(DB$4=1,
            $T11/12,
            IF(DB$4=$P11,
               $U11/12,
               1
      ))),0)
))))</f>
        <v>-</v>
      </c>
      <c r="DD11" s="56" t="str">
        <f ca="1">IF($H11=リスト!$AA$4,"-",
   IF($C11="-","-",
     IF(DD$4&gt;$P11,"-",
       IF(DD$4=1,$E11,OFFSET(DD11,0,-2)-OFFSET(DD11,0,-1)
))))</f>
        <v>-</v>
      </c>
      <c r="DE11" s="57" t="str">
        <f>IF($H11=リスト!$AA$4,"-",
 IF($C11="-","-",
  IF(DD$4&gt;$P11,"-",
   CHOOSE(MATCH($H$3,リスト!$AE$3:$AE$5,0),
    ROUNDUP(
      DD11*IF(DD11*$I11&lt;=$L11,$J11,$I11)*
      IF($P11=1,
         $S11/12,
         IF(DD$4=1,
            $T11/12,
            IF(DD$4=$P11,
               $U11/12,
               1
      ))),0),
    ROUNDDOWN(
      DD11*IF(DD11*$I11&lt;=$L11,$J11,$I11)*
      IF($P11=1,
         $S11/12,
         IF(DD$4=1,
            $T11/12,
            IF(DD$4=$P11,
               $U11/12,
               1
      ))),0),
    ROUND(
      DD11*IF(DD11*$I11&lt;=$L11,$J11,$I11)*
      IF($P11=1,
         $S11/12,
         IF(DD$4=1,
            $T11/12,
            IF(DD$4=$P11,
               $U11/12,
               1
      ))),0)
))))</f>
        <v>-</v>
      </c>
      <c r="DF11" s="56" t="str">
        <f ca="1">IF($H11=リスト!$AA$4,"-",
   IF($C11="-","-",
     IF(DF$4&gt;$P11,"-",
       IF(DF$4=1,$E11,OFFSET(DF11,0,-2)-OFFSET(DF11,0,-1)
))))</f>
        <v>-</v>
      </c>
      <c r="DG11" s="57" t="str">
        <f>IF($H11=リスト!$AA$4,"-",
 IF($C11="-","-",
  IF(DF$4&gt;$P11,"-",
   CHOOSE(MATCH($H$3,リスト!$AE$3:$AE$5,0),
    ROUNDUP(
      DF11*IF(DF11*$I11&lt;=$L11,$J11,$I11)*
      IF($P11=1,
         $S11/12,
         IF(DF$4=1,
            $T11/12,
            IF(DF$4=$P11,
               $U11/12,
               1
      ))),0),
    ROUNDDOWN(
      DF11*IF(DF11*$I11&lt;=$L11,$J11,$I11)*
      IF($P11=1,
         $S11/12,
         IF(DF$4=1,
            $T11/12,
            IF(DF$4=$P11,
               $U11/12,
               1
      ))),0),
    ROUND(
      DF11*IF(DF11*$I11&lt;=$L11,$J11,$I11)*
      IF($P11=1,
         $S11/12,
         IF(DF$4=1,
            $T11/12,
            IF(DF$4=$P11,
               $U11/12,
               1
      ))),0)
))))</f>
        <v>-</v>
      </c>
      <c r="DH11" s="56" t="str">
        <f ca="1">IF($H11=リスト!$AA$4,"-",
   IF($C11="-","-",
     IF(DH$4&gt;$P11,"-",
       IF(DH$4=1,$E11,OFFSET(DH11,0,-2)-OFFSET(DH11,0,-1)
))))</f>
        <v>-</v>
      </c>
      <c r="DI11" s="57" t="str">
        <f>IF($H11=リスト!$AA$4,"-",
 IF($C11="-","-",
  IF(DH$4&gt;$P11,"-",
   CHOOSE(MATCH($H$3,リスト!$AE$3:$AE$5,0),
    ROUNDUP(
      DH11*IF(DH11*$I11&lt;=$L11,$J11,$I11)*
      IF($P11=1,
         $S11/12,
         IF(DH$4=1,
            $T11/12,
            IF(DH$4=$P11,
               $U11/12,
               1
      ))),0),
    ROUNDDOWN(
      DH11*IF(DH11*$I11&lt;=$L11,$J11,$I11)*
      IF($P11=1,
         $S11/12,
         IF(DH$4=1,
            $T11/12,
            IF(DH$4=$P11,
               $U11/12,
               1
      ))),0),
    ROUND(
      DH11*IF(DH11*$I11&lt;=$L11,$J11,$I11)*
      IF($P11=1,
         $S11/12,
         IF(DH$4=1,
            $T11/12,
            IF(DH$4=$P11,
               $U11/12,
               1
      ))),0)
))))</f>
        <v>-</v>
      </c>
      <c r="DJ11" s="56" t="str">
        <f ca="1">IF($H11=リスト!$AA$4,"-",
   IF($C11="-","-",
     IF(DJ$4&gt;$P11,"-",
       IF(DJ$4=1,$E11,OFFSET(DJ11,0,-2)-OFFSET(DJ11,0,-1)
))))</f>
        <v>-</v>
      </c>
      <c r="DK11" s="57" t="str">
        <f>IF($H11=リスト!$AA$4,"-",
 IF($C11="-","-",
  IF(DJ$4&gt;$P11,"-",
   CHOOSE(MATCH($H$3,リスト!$AE$3:$AE$5,0),
    ROUNDUP(
      DJ11*IF(DJ11*$I11&lt;=$L11,$J11,$I11)*
      IF($P11=1,
         $S11/12,
         IF(DJ$4=1,
            $T11/12,
            IF(DJ$4=$P11,
               $U11/12,
               1
      ))),0),
    ROUNDDOWN(
      DJ11*IF(DJ11*$I11&lt;=$L11,$J11,$I11)*
      IF($P11=1,
         $S11/12,
         IF(DJ$4=1,
            $T11/12,
            IF(DJ$4=$P11,
               $U11/12,
               1
      ))),0),
    ROUND(
      DJ11*IF(DJ11*$I11&lt;=$L11,$J11,$I11)*
      IF($P11=1,
         $S11/12,
         IF(DJ$4=1,
            $T11/12,
            IF(DJ$4=$P11,
               $U11/12,
               1
      ))),0)
))))</f>
        <v>-</v>
      </c>
      <c r="DL11" s="56" t="str">
        <f ca="1">IF($H11=リスト!$AA$4,"-",
   IF($C11="-","-",
     IF(DL$4&gt;$P11,"-",
       IF(DL$4=1,$E11,OFFSET(DL11,0,-2)-OFFSET(DL11,0,-1)
))))</f>
        <v>-</v>
      </c>
      <c r="DM11" s="57" t="str">
        <f>IF($H11=リスト!$AA$4,"-",
 IF($C11="-","-",
  IF(DL$4&gt;$P11,"-",
   CHOOSE(MATCH($H$3,リスト!$AE$3:$AE$5,0),
    ROUNDUP(
      DL11*IF(DL11*$I11&lt;=$L11,$J11,$I11)*
      IF($P11=1,
         $S11/12,
         IF(DL$4=1,
            $T11/12,
            IF(DL$4=$P11,
               $U11/12,
               1
      ))),0),
    ROUNDDOWN(
      DL11*IF(DL11*$I11&lt;=$L11,$J11,$I11)*
      IF($P11=1,
         $S11/12,
         IF(DL$4=1,
            $T11/12,
            IF(DL$4=$P11,
               $U11/12,
               1
      ))),0),
    ROUND(
      DL11*IF(DL11*$I11&lt;=$L11,$J11,$I11)*
      IF($P11=1,
         $S11/12,
         IF(DL$4=1,
            $T11/12,
            IF(DL$4=$P11,
               $U11/12,
               1
      ))),0)
))))</f>
        <v>-</v>
      </c>
      <c r="DN11" s="56" t="str">
        <f ca="1">IF($H11=リスト!$AA$4,"-",
   IF($C11="-","-",
     IF(DN$4&gt;$P11,"-",
       IF(DN$4=1,$E11,OFFSET(DN11,0,-2)-OFFSET(DN11,0,-1)
))))</f>
        <v>-</v>
      </c>
      <c r="DO11" s="57" t="str">
        <f>IF($H11=リスト!$AA$4,"-",
 IF($C11="-","-",
  IF(DN$4&gt;$P11,"-",
   CHOOSE(MATCH($H$3,リスト!$AE$3:$AE$5,0),
    ROUNDUP(
      DN11*IF(DN11*$I11&lt;=$L11,$J11,$I11)*
      IF($P11=1,
         $S11/12,
         IF(DN$4=1,
            $T11/12,
            IF(DN$4=$P11,
               $U11/12,
               1
      ))),0),
    ROUNDDOWN(
      DN11*IF(DN11*$I11&lt;=$L11,$J11,$I11)*
      IF($P11=1,
         $S11/12,
         IF(DN$4=1,
            $T11/12,
            IF(DN$4=$P11,
               $U11/12,
               1
      ))),0),
    ROUND(
      DN11*IF(DN11*$I11&lt;=$L11,$J11,$I11)*
      IF($P11=1,
         $S11/12,
         IF(DN$4=1,
            $T11/12,
            IF(DN$4=$P11,
               $U11/12,
               1
      ))),0)
))))</f>
        <v>-</v>
      </c>
      <c r="DP11" s="56" t="str">
        <f ca="1">IF($H11=リスト!$AA$4,"-",
   IF($C11="-","-",
     IF(DP$4&gt;$P11,"-",
       IF(DP$4=1,$E11,OFFSET(DP11,0,-2)-OFFSET(DP11,0,-1)
))))</f>
        <v>-</v>
      </c>
      <c r="DQ11" s="57" t="str">
        <f>IF($H11=リスト!$AA$4,"-",
 IF($C11="-","-",
  IF(DP$4&gt;$P11,"-",
   CHOOSE(MATCH($H$3,リスト!$AE$3:$AE$5,0),
    ROUNDUP(
      DP11*IF(DP11*$I11&lt;=$L11,$J11,$I11)*
      IF($P11=1,
         $S11/12,
         IF(DP$4=1,
            $T11/12,
            IF(DP$4=$P11,
               $U11/12,
               1
      ))),0),
    ROUNDDOWN(
      DP11*IF(DP11*$I11&lt;=$L11,$J11,$I11)*
      IF($P11=1,
         $S11/12,
         IF(DP$4=1,
            $T11/12,
            IF(DP$4=$P11,
               $U11/12,
               1
      ))),0),
    ROUND(
      DP11*IF(DP11*$I11&lt;=$L11,$J11,$I11)*
      IF($P11=1,
         $S11/12,
         IF(DP$4=1,
            $T11/12,
            IF(DP$4=$P11,
               $U11/12,
               1
      ))),0)
))))</f>
        <v>-</v>
      </c>
      <c r="DR11" s="56" t="str">
        <f ca="1">IF($H11=リスト!$AA$4,"-",
   IF($C11="-","-",
     IF(DR$4&gt;$P11,"-",
       IF(DR$4=1,$E11,OFFSET(DR11,0,-2)-OFFSET(DR11,0,-1)
))))</f>
        <v>-</v>
      </c>
      <c r="DS11" s="57" t="str">
        <f>IF($H11=リスト!$AA$4,"-",
 IF($C11="-","-",
  IF(DR$4&gt;$P11,"-",
   CHOOSE(MATCH($H$3,リスト!$AE$3:$AE$5,0),
    ROUNDUP(
      DR11*IF(DR11*$I11&lt;=$L11,$J11,$I11)*
      IF($P11=1,
         $S11/12,
         IF(DR$4=1,
            $T11/12,
            IF(DR$4=$P11,
               $U11/12,
               1
      ))),0),
    ROUNDDOWN(
      DR11*IF(DR11*$I11&lt;=$L11,$J11,$I11)*
      IF($P11=1,
         $S11/12,
         IF(DR$4=1,
            $T11/12,
            IF(DR$4=$P11,
               $U11/12,
               1
      ))),0),
    ROUND(
      DR11*IF(DR11*$I11&lt;=$L11,$J11,$I11)*
      IF($P11=1,
         $S11/12,
         IF(DR$4=1,
            $T11/12,
            IF(DR$4=$P11,
               $U11/12,
               1
      ))),0)
))))</f>
        <v>-</v>
      </c>
      <c r="DT11" s="56" t="str" cm="1">
        <f t="array" ref="DT11">IF($H11&lt;&gt;リスト!$AA$3,"-",$E11-SUMPRODUCT(IFERROR($Y11:$DS11*1,0), --(MOD(COLUMN($Y11:$DS11)-COLUMN($Y11),2)=0)))</f>
        <v>-</v>
      </c>
      <c r="DU11" s="56" t="str">
        <f>IF($H11&lt;&gt;リスト!$AA$4,"-",
    IF($H$3=リスト!$AE$3,$E11-ROUNDUP($E11*I11*$W11/12,0),
    IF($H$3=リスト!$AE$4,$E11-ROUNDDOWN($E11*I11*$W11/12,0),
    IF($H$3=リスト!$AE$5,$E11-ROUND($E11*I11*$W11/12,0),
    "-"))))</f>
        <v>-</v>
      </c>
    </row>
    <row r="12" spans="2:125">
      <c r="B12" s="54">
        <v>7</v>
      </c>
      <c r="C12" s="55" t="str">
        <f>IF(財産処分報告用!$C12="","-",財産処分報告用!$C12)</f>
        <v>-</v>
      </c>
      <c r="D12" s="55" t="str">
        <f>財産処分報告用!$E12</f>
        <v>-</v>
      </c>
      <c r="E12" s="56" t="str">
        <f>IF(財産処分報告用!$J12="","-",財産処分報告用!$J12)</f>
        <v>-</v>
      </c>
      <c r="F12" s="101" t="str">
        <f>IF(財産処分報告用!$K12="","-",財産処分報告用!$K12)</f>
        <v>-</v>
      </c>
      <c r="G12" s="101" t="str">
        <f>IF(財産処分報告用!$L12="","-",財産処分報告用!$L12)</f>
        <v>-</v>
      </c>
      <c r="H12" s="55" t="str">
        <f>IF(財産処分報告用!$M12="","-",財産処分報告用!$M12)</f>
        <v>-</v>
      </c>
      <c r="I12" s="55" t="str">
        <f>IF(OR($D12="-",$H12="-"),"-",INDEX(リスト!$AG$2:$AI$101,MATCH($D12,リスト!$AG$2:$AG$101,0),MATCH($H12,リスト!$AG$2:$AI$2,0)))</f>
        <v>-</v>
      </c>
      <c r="J12" s="55" t="str">
        <f>IF(OR($D12="-",$H12="-"),"-",IF($H12=リスト!$AA$4,"-",INDEX(リスト!$AG$2:$AK$101,MATCH($D12,リスト!$AG$2:$AG$101,0),4)))</f>
        <v>-</v>
      </c>
      <c r="K12" s="55" t="str">
        <f>IF(OR($D12="-",$H12="-"),"-",IF($H12=リスト!$AA$4,"-",INDEX(リスト!$AG$2:$AK$101,MATCH($D12,リスト!$AG$2:$AG$101,0),5)))</f>
        <v>-</v>
      </c>
      <c r="L12" s="55" t="str">
        <f t="shared" si="0"/>
        <v>-</v>
      </c>
      <c r="M12" s="101" t="str">
        <f t="shared" si="1"/>
        <v>-</v>
      </c>
      <c r="N12" s="101" t="str">
        <f t="shared" si="2"/>
        <v>-</v>
      </c>
      <c r="O12" s="101" t="str">
        <f t="shared" si="3"/>
        <v>-</v>
      </c>
      <c r="P12" s="102" t="str">
        <f t="shared" si="4"/>
        <v>-</v>
      </c>
      <c r="Q12" s="115" t="str">
        <f t="shared" si="5"/>
        <v>-</v>
      </c>
      <c r="R12" s="116" t="str">
        <f t="shared" si="6"/>
        <v>-</v>
      </c>
      <c r="S12" s="102" t="str">
        <f t="shared" si="7"/>
        <v>-</v>
      </c>
      <c r="T12" s="102" t="str">
        <f t="shared" si="8"/>
        <v>-</v>
      </c>
      <c r="U12" s="102" t="str">
        <f t="shared" si="9"/>
        <v>-</v>
      </c>
      <c r="V12" s="102" t="str">
        <f t="shared" si="10"/>
        <v>-</v>
      </c>
      <c r="W12" s="55" t="str">
        <f t="shared" si="11"/>
        <v>-</v>
      </c>
      <c r="X12" s="56" t="str">
        <f ca="1">IF($H12=リスト!$AA$4,"-",
   IF($C12="-","-",
     IF(X$4&gt;$P12,"-",
       IF(X$4=1,$E12,OFFSET(X12,0,-2)-OFFSET(X12,0,-1)
))))</f>
        <v>-</v>
      </c>
      <c r="Y12" s="57" t="str">
        <f>IF($H12=リスト!$AA$4,"-",
 IF($C12="-","-",
  IF(X$4&gt;$P12,"-",
   CHOOSE(MATCH($H$3,リスト!$AE$3:$AE$5,0),
    ROUNDUP(
      X12*IF(X12*$I12&lt;=$L12,$J12,$I12)*
      IF($P12=1,
         $S12/12,
         IF(X$4=1,
            $T12/12,
            IF(X$4=$P12,
               $U12/12,
               1
      ))),0),
    ROUNDDOWN(
      X12*IF(X12*$I12&lt;=$L12,$J12,$I12)*
      IF($P12=1,
         $S12/12,
         IF(X$4=1,
            $T12/12,
            IF(X$4=$P12,
               $U12/12,
               1
      ))),0),
    ROUND(
      X12*IF(X12*$I12&lt;=$L12,$J12,$I12)*
      IF($P12=1,
         $S12/12,
         IF(X$4=1,
            $T12/12,
            IF(X$4=$P12,
               $U12/12,
               1
      ))),0)
))))</f>
        <v>-</v>
      </c>
      <c r="Z12" s="56" t="str">
        <f ca="1">IF($H12=リスト!$AA$4,"-",
   IF($C12="-","-",
     IF(Z$4&gt;$P12,"-",
       IF(Z$4=1,$E12,OFFSET(Z12,0,-2)-OFFSET(Z12,0,-1)
))))</f>
        <v>-</v>
      </c>
      <c r="AA12" s="57" t="str">
        <f>IF($H12=リスト!$AA$4,"-",
 IF($C12="-","-",
  IF(Z$4&gt;$P12,"-",
   CHOOSE(MATCH($H$3,リスト!$AE$3:$AE$5,0),
    ROUNDUP(
      Z12*IF(Z12*$I12&lt;=$L12,$J12,$I12)*
      IF($P12=1,
         $S12/12,
         IF(Z$4=1,
            $T12/12,
            IF(Z$4=$P12,
               $U12/12,
               1
      ))),0),
    ROUNDDOWN(
      Z12*IF(Z12*$I12&lt;=$L12,$J12,$I12)*
      IF($P12=1,
         $S12/12,
         IF(Z$4=1,
            $T12/12,
            IF(Z$4=$P12,
               $U12/12,
               1
      ))),0),
    ROUND(
      Z12*IF(Z12*$I12&lt;=$L12,$J12,$I12)*
      IF($P12=1,
         $S12/12,
         IF(Z$4=1,
            $T12/12,
            IF(Z$4=$P12,
               $U12/12,
               1
      ))),0)
))))</f>
        <v>-</v>
      </c>
      <c r="AB12" s="56" t="str">
        <f ca="1">IF($H12=リスト!$AA$4,"-",
   IF($C12="-","-",
     IF(AB$4&gt;$P12,"-",
       IF(AB$4=1,$E12,OFFSET(AB12,0,-2)-OFFSET(AB12,0,-1)
))))</f>
        <v>-</v>
      </c>
      <c r="AC12" s="57" t="str">
        <f>IF($H12=リスト!$AA$4,"-",
 IF($C12="-","-",
  IF(AB$4&gt;$P12,"-",
   CHOOSE(MATCH($H$3,リスト!$AE$3:$AE$5,0),
    ROUNDUP(
      AB12*IF(AB12*$I12&lt;=$L12,$J12,$I12)*
      IF($P12=1,
         $S12/12,
         IF(AB$4=1,
            $T12/12,
            IF(AB$4=$P12,
               $U12/12,
               1
      ))),0),
    ROUNDDOWN(
      AB12*IF(AB12*$I12&lt;=$L12,$J12,$I12)*
      IF($P12=1,
         $S12/12,
         IF(AB$4=1,
            $T12/12,
            IF(AB$4=$P12,
               $U12/12,
               1
      ))),0),
    ROUND(
      AB12*IF(AB12*$I12&lt;=$L12,$J12,$I12)*
      IF($P12=1,
         $S12/12,
         IF(AB$4=1,
            $T12/12,
            IF(AB$4=$P12,
               $U12/12,
               1
      ))),0)
))))</f>
        <v>-</v>
      </c>
      <c r="AD12" s="56" t="str">
        <f ca="1">IF($H12=リスト!$AA$4,"-",
   IF($C12="-","-",
     IF(AD$4&gt;$P12,"-",
       IF(AD$4=1,$E12,OFFSET(AD12,0,-2)-OFFSET(AD12,0,-1)
))))</f>
        <v>-</v>
      </c>
      <c r="AE12" s="57" t="str">
        <f>IF($H12=リスト!$AA$4,"-",
 IF($C12="-","-",
  IF(AD$4&gt;$P12,"-",
   CHOOSE(MATCH($H$3,リスト!$AE$3:$AE$5,0),
    ROUNDUP(
      AD12*IF(AD12*$I12&lt;=$L12,$J12,$I12)*
      IF($P12=1,
         $S12/12,
         IF(AD$4=1,
            $T12/12,
            IF(AD$4=$P12,
               $U12/12,
               1
      ))),0),
    ROUNDDOWN(
      AD12*IF(AD12*$I12&lt;=$L12,$J12,$I12)*
      IF($P12=1,
         $S12/12,
         IF(AD$4=1,
            $T12/12,
            IF(AD$4=$P12,
               $U12/12,
               1
      ))),0),
    ROUND(
      AD12*IF(AD12*$I12&lt;=$L12,$J12,$I12)*
      IF($P12=1,
         $S12/12,
         IF(AD$4=1,
            $T12/12,
            IF(AD$4=$P12,
               $U12/12,
               1
      ))),0)
))))</f>
        <v>-</v>
      </c>
      <c r="AF12" s="56" t="str">
        <f ca="1">IF($H12=リスト!$AA$4,"-",
   IF($C12="-","-",
     IF(AF$4&gt;$P12,"-",
       IF(AF$4=1,$E12,OFFSET(AF12,0,-2)-OFFSET(AF12,0,-1)
))))</f>
        <v>-</v>
      </c>
      <c r="AG12" s="57" t="str">
        <f>IF($H12=リスト!$AA$4,"-",
 IF($C12="-","-",
  IF(AF$4&gt;$P12,"-",
   CHOOSE(MATCH($H$3,リスト!$AE$3:$AE$5,0),
    ROUNDUP(
      AF12*IF(AF12*$I12&lt;=$L12,$J12,$I12)*
      IF($P12=1,
         $S12/12,
         IF(AF$4=1,
            $T12/12,
            IF(AF$4=$P12,
               $U12/12,
               1
      ))),0),
    ROUNDDOWN(
      AF12*IF(AF12*$I12&lt;=$L12,$J12,$I12)*
      IF($P12=1,
         $S12/12,
         IF(AF$4=1,
            $T12/12,
            IF(AF$4=$P12,
               $U12/12,
               1
      ))),0),
    ROUND(
      AF12*IF(AF12*$I12&lt;=$L12,$J12,$I12)*
      IF($P12=1,
         $S12/12,
         IF(AF$4=1,
            $T12/12,
            IF(AF$4=$P12,
               $U12/12,
               1
      ))),0)
))))</f>
        <v>-</v>
      </c>
      <c r="AH12" s="56" t="str">
        <f ca="1">IF($H12=リスト!$AA$4,"-",
   IF($C12="-","-",
     IF(AH$4&gt;$P12,"-",
       IF(AH$4=1,$E12,OFFSET(AH12,0,-2)-OFFSET(AH12,0,-1)
))))</f>
        <v>-</v>
      </c>
      <c r="AI12" s="57" t="str">
        <f>IF($H12=リスト!$AA$4,"-",
 IF($C12="-","-",
  IF(AH$4&gt;$P12,"-",
   CHOOSE(MATCH($H$3,リスト!$AE$3:$AE$5,0),
    ROUNDUP(
      AH12*IF(AH12*$I12&lt;=$L12,$J12,$I12)*
      IF($P12=1,
         $S12/12,
         IF(AH$4=1,
            $T12/12,
            IF(AH$4=$P12,
               $U12/12,
               1
      ))),0),
    ROUNDDOWN(
      AH12*IF(AH12*$I12&lt;=$L12,$J12,$I12)*
      IF($P12=1,
         $S12/12,
         IF(AH$4=1,
            $T12/12,
            IF(AH$4=$P12,
               $U12/12,
               1
      ))),0),
    ROUND(
      AH12*IF(AH12*$I12&lt;=$L12,$J12,$I12)*
      IF($P12=1,
         $S12/12,
         IF(AH$4=1,
            $T12/12,
            IF(AH$4=$P12,
               $U12/12,
               1
      ))),0)
))))</f>
        <v>-</v>
      </c>
      <c r="AJ12" s="56" t="str">
        <f ca="1">IF($H12=リスト!$AA$4,"-",
   IF($C12="-","-",
     IF(AJ$4&gt;$P12,"-",
       IF(AJ$4=1,$E12,OFFSET(AJ12,0,-2)-OFFSET(AJ12,0,-1)
))))</f>
        <v>-</v>
      </c>
      <c r="AK12" s="57" t="str">
        <f>IF($H12=リスト!$AA$4,"-",
 IF($C12="-","-",
  IF(AJ$4&gt;$P12,"-",
   CHOOSE(MATCH($H$3,リスト!$AE$3:$AE$5,0),
    ROUNDUP(
      AJ12*IF(AJ12*$I12&lt;=$L12,$J12,$I12)*
      IF($P12=1,
         $S12/12,
         IF(AJ$4=1,
            $T12/12,
            IF(AJ$4=$P12,
               $U12/12,
               1
      ))),0),
    ROUNDDOWN(
      AJ12*IF(AJ12*$I12&lt;=$L12,$J12,$I12)*
      IF($P12=1,
         $S12/12,
         IF(AJ$4=1,
            $T12/12,
            IF(AJ$4=$P12,
               $U12/12,
               1
      ))),0),
    ROUND(
      AJ12*IF(AJ12*$I12&lt;=$L12,$J12,$I12)*
      IF($P12=1,
         $S12/12,
         IF(AJ$4=1,
            $T12/12,
            IF(AJ$4=$P12,
               $U12/12,
               1
      ))),0)
))))</f>
        <v>-</v>
      </c>
      <c r="AL12" s="56" t="str">
        <f ca="1">IF($H12=リスト!$AA$4,"-",
   IF($C12="-","-",
     IF(AL$4&gt;$P12,"-",
       IF(AL$4=1,$E12,OFFSET(AL12,0,-2)-OFFSET(AL12,0,-1)
))))</f>
        <v>-</v>
      </c>
      <c r="AM12" s="57" t="str">
        <f>IF($H12=リスト!$AA$4,"-",
 IF($C12="-","-",
  IF(AL$4&gt;$P12,"-",
   CHOOSE(MATCH($H$3,リスト!$AE$3:$AE$5,0),
    ROUNDUP(
      AL12*IF(AL12*$I12&lt;=$L12,$J12,$I12)*
      IF($P12=1,
         $S12/12,
         IF(AL$4=1,
            $T12/12,
            IF(AL$4=$P12,
               $U12/12,
               1
      ))),0),
    ROUNDDOWN(
      AL12*IF(AL12*$I12&lt;=$L12,$J12,$I12)*
      IF($P12=1,
         $S12/12,
         IF(AL$4=1,
            $T12/12,
            IF(AL$4=$P12,
               $U12/12,
               1
      ))),0),
    ROUND(
      AL12*IF(AL12*$I12&lt;=$L12,$J12,$I12)*
      IF($P12=1,
         $S12/12,
         IF(AL$4=1,
            $T12/12,
            IF(AL$4=$P12,
               $U12/12,
               1
      ))),0)
))))</f>
        <v>-</v>
      </c>
      <c r="AN12" s="56" t="str">
        <f ca="1">IF($H12=リスト!$AA$4,"-",
   IF($C12="-","-",
     IF(AN$4&gt;$P12,"-",
       IF(AN$4=1,$E12,OFFSET(AN12,0,-2)-OFFSET(AN12,0,-1)
))))</f>
        <v>-</v>
      </c>
      <c r="AO12" s="57" t="str">
        <f>IF($H12=リスト!$AA$4,"-",
 IF($C12="-","-",
  IF(AN$4&gt;$P12,"-",
   CHOOSE(MATCH($H$3,リスト!$AE$3:$AE$5,0),
    ROUNDUP(
      AN12*IF(AN12*$I12&lt;=$L12,$J12,$I12)*
      IF($P12=1,
         $S12/12,
         IF(AN$4=1,
            $T12/12,
            IF(AN$4=$P12,
               $U12/12,
               1
      ))),0),
    ROUNDDOWN(
      AN12*IF(AN12*$I12&lt;=$L12,$J12,$I12)*
      IF($P12=1,
         $S12/12,
         IF(AN$4=1,
            $T12/12,
            IF(AN$4=$P12,
               $U12/12,
               1
      ))),0),
    ROUND(
      AN12*IF(AN12*$I12&lt;=$L12,$J12,$I12)*
      IF($P12=1,
         $S12/12,
         IF(AN$4=1,
            $T12/12,
            IF(AN$4=$P12,
               $U12/12,
               1
      ))),0)
))))</f>
        <v>-</v>
      </c>
      <c r="AP12" s="56" t="str">
        <f ca="1">IF($H12=リスト!$AA$4,"-",
   IF($C12="-","-",
     IF(AP$4&gt;$P12,"-",
       IF(AP$4=1,$E12,OFFSET(AP12,0,-2)-OFFSET(AP12,0,-1)
))))</f>
        <v>-</v>
      </c>
      <c r="AQ12" s="57" t="str">
        <f>IF($H12=リスト!$AA$4,"-",
 IF($C12="-","-",
  IF(AP$4&gt;$P12,"-",
   CHOOSE(MATCH($H$3,リスト!$AE$3:$AE$5,0),
    ROUNDUP(
      AP12*IF(AP12*$I12&lt;=$L12,$J12,$I12)*
      IF($P12=1,
         $S12/12,
         IF(AP$4=1,
            $T12/12,
            IF(AP$4=$P12,
               $U12/12,
               1
      ))),0),
    ROUNDDOWN(
      AP12*IF(AP12*$I12&lt;=$L12,$J12,$I12)*
      IF($P12=1,
         $S12/12,
         IF(AP$4=1,
            $T12/12,
            IF(AP$4=$P12,
               $U12/12,
               1
      ))),0),
    ROUND(
      AP12*IF(AP12*$I12&lt;=$L12,$J12,$I12)*
      IF($P12=1,
         $S12/12,
         IF(AP$4=1,
            $T12/12,
            IF(AP$4=$P12,
               $U12/12,
               1
      ))),0)
))))</f>
        <v>-</v>
      </c>
      <c r="AR12" s="56" t="str">
        <f ca="1">IF($H12=リスト!$AA$4,"-",
   IF($C12="-","-",
     IF(AR$4&gt;$P12,"-",
       IF(AR$4=1,$E12,OFFSET(AR12,0,-2)-OFFSET(AR12,0,-1)
))))</f>
        <v>-</v>
      </c>
      <c r="AS12" s="57" t="str">
        <f>IF($H12=リスト!$AA$4,"-",
 IF($C12="-","-",
  IF(AR$4&gt;$P12,"-",
   CHOOSE(MATCH($H$3,リスト!$AE$3:$AE$5,0),
    ROUNDUP(
      AR12*IF(AR12*$I12&lt;=$L12,$J12,$I12)*
      IF($P12=1,
         $S12/12,
         IF(AR$4=1,
            $T12/12,
            IF(AR$4=$P12,
               $U12/12,
               1
      ))),0),
    ROUNDDOWN(
      AR12*IF(AR12*$I12&lt;=$L12,$J12,$I12)*
      IF($P12=1,
         $S12/12,
         IF(AR$4=1,
            $T12/12,
            IF(AR$4=$P12,
               $U12/12,
               1
      ))),0),
    ROUND(
      AR12*IF(AR12*$I12&lt;=$L12,$J12,$I12)*
      IF($P12=1,
         $S12/12,
         IF(AR$4=1,
            $T12/12,
            IF(AR$4=$P12,
               $U12/12,
               1
      ))),0)
))))</f>
        <v>-</v>
      </c>
      <c r="AT12" s="56" t="str">
        <f ca="1">IF($H12=リスト!$AA$4,"-",
   IF($C12="-","-",
     IF(AT$4&gt;$P12,"-",
       IF(AT$4=1,$E12,OFFSET(AT12,0,-2)-OFFSET(AT12,0,-1)
))))</f>
        <v>-</v>
      </c>
      <c r="AU12" s="57" t="str">
        <f>IF($H12=リスト!$AA$4,"-",
 IF($C12="-","-",
  IF(AT$4&gt;$P12,"-",
   CHOOSE(MATCH($H$3,リスト!$AE$3:$AE$5,0),
    ROUNDUP(
      AT12*IF(AT12*$I12&lt;=$L12,$J12,$I12)*
      IF($P12=1,
         $S12/12,
         IF(AT$4=1,
            $T12/12,
            IF(AT$4=$P12,
               $U12/12,
               1
      ))),0),
    ROUNDDOWN(
      AT12*IF(AT12*$I12&lt;=$L12,$J12,$I12)*
      IF($P12=1,
         $S12/12,
         IF(AT$4=1,
            $T12/12,
            IF(AT$4=$P12,
               $U12/12,
               1
      ))),0),
    ROUND(
      AT12*IF(AT12*$I12&lt;=$L12,$J12,$I12)*
      IF($P12=1,
         $S12/12,
         IF(AT$4=1,
            $T12/12,
            IF(AT$4=$P12,
               $U12/12,
               1
      ))),0)
))))</f>
        <v>-</v>
      </c>
      <c r="AV12" s="56" t="str">
        <f ca="1">IF($H12=リスト!$AA$4,"-",
   IF($C12="-","-",
     IF(AV$4&gt;$P12,"-",
       IF(AV$4=1,$E12,OFFSET(AV12,0,-2)-OFFSET(AV12,0,-1)
))))</f>
        <v>-</v>
      </c>
      <c r="AW12" s="57" t="str">
        <f>IF($H12=リスト!$AA$4,"-",
 IF($C12="-","-",
  IF(AV$4&gt;$P12,"-",
   CHOOSE(MATCH($H$3,リスト!$AE$3:$AE$5,0),
    ROUNDUP(
      AV12*IF(AV12*$I12&lt;=$L12,$J12,$I12)*
      IF($P12=1,
         $S12/12,
         IF(AV$4=1,
            $T12/12,
            IF(AV$4=$P12,
               $U12/12,
               1
      ))),0),
    ROUNDDOWN(
      AV12*IF(AV12*$I12&lt;=$L12,$J12,$I12)*
      IF($P12=1,
         $S12/12,
         IF(AV$4=1,
            $T12/12,
            IF(AV$4=$P12,
               $U12/12,
               1
      ))),0),
    ROUND(
      AV12*IF(AV12*$I12&lt;=$L12,$J12,$I12)*
      IF($P12=1,
         $S12/12,
         IF(AV$4=1,
            $T12/12,
            IF(AV$4=$P12,
               $U12/12,
               1
      ))),0)
))))</f>
        <v>-</v>
      </c>
      <c r="AX12" s="56" t="str">
        <f ca="1">IF($H12=リスト!$AA$4,"-",
   IF($C12="-","-",
     IF(AX$4&gt;$P12,"-",
       IF(AX$4=1,$E12,OFFSET(AX12,0,-2)-OFFSET(AX12,0,-1)
))))</f>
        <v>-</v>
      </c>
      <c r="AY12" s="57" t="str">
        <f>IF($H12=リスト!$AA$4,"-",
 IF($C12="-","-",
  IF(AX$4&gt;$P12,"-",
   CHOOSE(MATCH($H$3,リスト!$AE$3:$AE$5,0),
    ROUNDUP(
      AX12*IF(AX12*$I12&lt;=$L12,$J12,$I12)*
      IF($P12=1,
         $S12/12,
         IF(AX$4=1,
            $T12/12,
            IF(AX$4=$P12,
               $U12/12,
               1
      ))),0),
    ROUNDDOWN(
      AX12*IF(AX12*$I12&lt;=$L12,$J12,$I12)*
      IF($P12=1,
         $S12/12,
         IF(AX$4=1,
            $T12/12,
            IF(AX$4=$P12,
               $U12/12,
               1
      ))),0),
    ROUND(
      AX12*IF(AX12*$I12&lt;=$L12,$J12,$I12)*
      IF($P12=1,
         $S12/12,
         IF(AX$4=1,
            $T12/12,
            IF(AX$4=$P12,
               $U12/12,
               1
      ))),0)
))))</f>
        <v>-</v>
      </c>
      <c r="AZ12" s="56" t="str">
        <f ca="1">IF($H12=リスト!$AA$4,"-",
   IF($C12="-","-",
     IF(AZ$4&gt;$P12,"-",
       IF(AZ$4=1,$E12,OFFSET(AZ12,0,-2)-OFFSET(AZ12,0,-1)
))))</f>
        <v>-</v>
      </c>
      <c r="BA12" s="57" t="str">
        <f>IF($H12=リスト!$AA$4,"-",
 IF($C12="-","-",
  IF(AZ$4&gt;$P12,"-",
   CHOOSE(MATCH($H$3,リスト!$AE$3:$AE$5,0),
    ROUNDUP(
      AZ12*IF(AZ12*$I12&lt;=$L12,$J12,$I12)*
      IF($P12=1,
         $S12/12,
         IF(AZ$4=1,
            $T12/12,
            IF(AZ$4=$P12,
               $U12/12,
               1
      ))),0),
    ROUNDDOWN(
      AZ12*IF(AZ12*$I12&lt;=$L12,$J12,$I12)*
      IF($P12=1,
         $S12/12,
         IF(AZ$4=1,
            $T12/12,
            IF(AZ$4=$P12,
               $U12/12,
               1
      ))),0),
    ROUND(
      AZ12*IF(AZ12*$I12&lt;=$L12,$J12,$I12)*
      IF($P12=1,
         $S12/12,
         IF(AZ$4=1,
            $T12/12,
            IF(AZ$4=$P12,
               $U12/12,
               1
      ))),0)
))))</f>
        <v>-</v>
      </c>
      <c r="BB12" s="56" t="str">
        <f ca="1">IF($H12=リスト!$AA$4,"-",
   IF($C12="-","-",
     IF(BB$4&gt;$P12,"-",
       IF(BB$4=1,$E12,OFFSET(BB12,0,-2)-OFFSET(BB12,0,-1)
))))</f>
        <v>-</v>
      </c>
      <c r="BC12" s="57" t="str">
        <f>IF($H12=リスト!$AA$4,"-",
 IF($C12="-","-",
  IF(BB$4&gt;$P12,"-",
   CHOOSE(MATCH($H$3,リスト!$AE$3:$AE$5,0),
    ROUNDUP(
      BB12*IF(BB12*$I12&lt;=$L12,$J12,$I12)*
      IF($P12=1,
         $S12/12,
         IF(BB$4=1,
            $T12/12,
            IF(BB$4=$P12,
               $U12/12,
               1
      ))),0),
    ROUNDDOWN(
      BB12*IF(BB12*$I12&lt;=$L12,$J12,$I12)*
      IF($P12=1,
         $S12/12,
         IF(BB$4=1,
            $T12/12,
            IF(BB$4=$P12,
               $U12/12,
               1
      ))),0),
    ROUND(
      BB12*IF(BB12*$I12&lt;=$L12,$J12,$I12)*
      IF($P12=1,
         $S12/12,
         IF(BB$4=1,
            $T12/12,
            IF(BB$4=$P12,
               $U12/12,
               1
      ))),0)
))))</f>
        <v>-</v>
      </c>
      <c r="BD12" s="56" t="str">
        <f ca="1">IF($H12=リスト!$AA$4,"-",
   IF($C12="-","-",
     IF(BD$4&gt;$P12,"-",
       IF(BD$4=1,$E12,OFFSET(BD12,0,-2)-OFFSET(BD12,0,-1)
))))</f>
        <v>-</v>
      </c>
      <c r="BE12" s="57" t="str">
        <f>IF($H12=リスト!$AA$4,"-",
 IF($C12="-","-",
  IF(BD$4&gt;$P12,"-",
   CHOOSE(MATCH($H$3,リスト!$AE$3:$AE$5,0),
    ROUNDUP(
      BD12*IF(BD12*$I12&lt;=$L12,$J12,$I12)*
      IF($P12=1,
         $S12/12,
         IF(BD$4=1,
            $T12/12,
            IF(BD$4=$P12,
               $U12/12,
               1
      ))),0),
    ROUNDDOWN(
      BD12*IF(BD12*$I12&lt;=$L12,$J12,$I12)*
      IF($P12=1,
         $S12/12,
         IF(BD$4=1,
            $T12/12,
            IF(BD$4=$P12,
               $U12/12,
               1
      ))),0),
    ROUND(
      BD12*IF(BD12*$I12&lt;=$L12,$J12,$I12)*
      IF($P12=1,
         $S12/12,
         IF(BD$4=1,
            $T12/12,
            IF(BD$4=$P12,
               $U12/12,
               1
      ))),0)
))))</f>
        <v>-</v>
      </c>
      <c r="BF12" s="56" t="str">
        <f ca="1">IF($H12=リスト!$AA$4,"-",
   IF($C12="-","-",
     IF(BF$4&gt;$P12,"-",
       IF(BF$4=1,$E12,OFFSET(BF12,0,-2)-OFFSET(BF12,0,-1)
))))</f>
        <v>-</v>
      </c>
      <c r="BG12" s="57" t="str">
        <f>IF($H12=リスト!$AA$4,"-",
 IF($C12="-","-",
  IF(BF$4&gt;$P12,"-",
   CHOOSE(MATCH($H$3,リスト!$AE$3:$AE$5,0),
    ROUNDUP(
      BF12*IF(BF12*$I12&lt;=$L12,$J12,$I12)*
      IF($P12=1,
         $S12/12,
         IF(BF$4=1,
            $T12/12,
            IF(BF$4=$P12,
               $U12/12,
               1
      ))),0),
    ROUNDDOWN(
      BF12*IF(BF12*$I12&lt;=$L12,$J12,$I12)*
      IF($P12=1,
         $S12/12,
         IF(BF$4=1,
            $T12/12,
            IF(BF$4=$P12,
               $U12/12,
               1
      ))),0),
    ROUND(
      BF12*IF(BF12*$I12&lt;=$L12,$J12,$I12)*
      IF($P12=1,
         $S12/12,
         IF(BF$4=1,
            $T12/12,
            IF(BF$4=$P12,
               $U12/12,
               1
      ))),0)
))))</f>
        <v>-</v>
      </c>
      <c r="BH12" s="56" t="str">
        <f ca="1">IF($H12=リスト!$AA$4,"-",
   IF($C12="-","-",
     IF(BH$4&gt;$P12,"-",
       IF(BH$4=1,$E12,OFFSET(BH12,0,-2)-OFFSET(BH12,0,-1)
))))</f>
        <v>-</v>
      </c>
      <c r="BI12" s="57" t="str">
        <f>IF($H12=リスト!$AA$4,"-",
 IF($C12="-","-",
  IF(BH$4&gt;$P12,"-",
   CHOOSE(MATCH($H$3,リスト!$AE$3:$AE$5,0),
    ROUNDUP(
      BH12*IF(BH12*$I12&lt;=$L12,$J12,$I12)*
      IF($P12=1,
         $S12/12,
         IF(BH$4=1,
            $T12/12,
            IF(BH$4=$P12,
               $U12/12,
               1
      ))),0),
    ROUNDDOWN(
      BH12*IF(BH12*$I12&lt;=$L12,$J12,$I12)*
      IF($P12=1,
         $S12/12,
         IF(BH$4=1,
            $T12/12,
            IF(BH$4=$P12,
               $U12/12,
               1
      ))),0),
    ROUND(
      BH12*IF(BH12*$I12&lt;=$L12,$J12,$I12)*
      IF($P12=1,
         $S12/12,
         IF(BH$4=1,
            $T12/12,
            IF(BH$4=$P12,
               $U12/12,
               1
      ))),0)
))))</f>
        <v>-</v>
      </c>
      <c r="BJ12" s="56" t="str">
        <f ca="1">IF($H12=リスト!$AA$4,"-",
   IF($C12="-","-",
     IF(BJ$4&gt;$P12,"-",
       IF(BJ$4=1,$E12,OFFSET(BJ12,0,-2)-OFFSET(BJ12,0,-1)
))))</f>
        <v>-</v>
      </c>
      <c r="BK12" s="57" t="str">
        <f>IF($H12=リスト!$AA$4,"-",
 IF($C12="-","-",
  IF(BJ$4&gt;$P12,"-",
   CHOOSE(MATCH($H$3,リスト!$AE$3:$AE$5,0),
    ROUNDUP(
      BJ12*IF(BJ12*$I12&lt;=$L12,$J12,$I12)*
      IF($P12=1,
         $S12/12,
         IF(BJ$4=1,
            $T12/12,
            IF(BJ$4=$P12,
               $U12/12,
               1
      ))),0),
    ROUNDDOWN(
      BJ12*IF(BJ12*$I12&lt;=$L12,$J12,$I12)*
      IF($P12=1,
         $S12/12,
         IF(BJ$4=1,
            $T12/12,
            IF(BJ$4=$P12,
               $U12/12,
               1
      ))),0),
    ROUND(
      BJ12*IF(BJ12*$I12&lt;=$L12,$J12,$I12)*
      IF($P12=1,
         $S12/12,
         IF(BJ$4=1,
            $T12/12,
            IF(BJ$4=$P12,
               $U12/12,
               1
      ))),0)
))))</f>
        <v>-</v>
      </c>
      <c r="BL12" s="56" t="str">
        <f ca="1">IF($H12=リスト!$AA$4,"-",
   IF($C12="-","-",
     IF(BL$4&gt;$P12,"-",
       IF(BL$4=1,$E12,OFFSET(BL12,0,-2)-OFFSET(BL12,0,-1)
))))</f>
        <v>-</v>
      </c>
      <c r="BM12" s="57" t="str">
        <f>IF($H12=リスト!$AA$4,"-",
 IF($C12="-","-",
  IF(BL$4&gt;$P12,"-",
   CHOOSE(MATCH($H$3,リスト!$AE$3:$AE$5,0),
    ROUNDUP(
      BL12*IF(BL12*$I12&lt;=$L12,$J12,$I12)*
      IF($P12=1,
         $S12/12,
         IF(BL$4=1,
            $T12/12,
            IF(BL$4=$P12,
               $U12/12,
               1
      ))),0),
    ROUNDDOWN(
      BL12*IF(BL12*$I12&lt;=$L12,$J12,$I12)*
      IF($P12=1,
         $S12/12,
         IF(BL$4=1,
            $T12/12,
            IF(BL$4=$P12,
               $U12/12,
               1
      ))),0),
    ROUND(
      BL12*IF(BL12*$I12&lt;=$L12,$J12,$I12)*
      IF($P12=1,
         $S12/12,
         IF(BL$4=1,
            $T12/12,
            IF(BL$4=$P12,
               $U12/12,
               1
      ))),0)
))))</f>
        <v>-</v>
      </c>
      <c r="BN12" s="56" t="str">
        <f ca="1">IF($H12=リスト!$AA$4,"-",
   IF($C12="-","-",
     IF(BN$4&gt;$P12,"-",
       IF(BN$4=1,$E12,OFFSET(BN12,0,-2)-OFFSET(BN12,0,-1)
))))</f>
        <v>-</v>
      </c>
      <c r="BO12" s="57" t="str">
        <f>IF($H12=リスト!$AA$4,"-",
 IF($C12="-","-",
  IF(BN$4&gt;$P12,"-",
   CHOOSE(MATCH($H$3,リスト!$AE$3:$AE$5,0),
    ROUNDUP(
      BN12*IF(BN12*$I12&lt;=$L12,$J12,$I12)*
      IF($P12=1,
         $S12/12,
         IF(BN$4=1,
            $T12/12,
            IF(BN$4=$P12,
               $U12/12,
               1
      ))),0),
    ROUNDDOWN(
      BN12*IF(BN12*$I12&lt;=$L12,$J12,$I12)*
      IF($P12=1,
         $S12/12,
         IF(BN$4=1,
            $T12/12,
            IF(BN$4=$P12,
               $U12/12,
               1
      ))),0),
    ROUND(
      BN12*IF(BN12*$I12&lt;=$L12,$J12,$I12)*
      IF($P12=1,
         $S12/12,
         IF(BN$4=1,
            $T12/12,
            IF(BN$4=$P12,
               $U12/12,
               1
      ))),0)
))))</f>
        <v>-</v>
      </c>
      <c r="BP12" s="56" t="str">
        <f ca="1">IF($H12=リスト!$AA$4,"-",
   IF($C12="-","-",
     IF(BP$4&gt;$P12,"-",
       IF(BP$4=1,$E12,OFFSET(BP12,0,-2)-OFFSET(BP12,0,-1)
))))</f>
        <v>-</v>
      </c>
      <c r="BQ12" s="57" t="str">
        <f>IF($H12=リスト!$AA$4,"-",
 IF($C12="-","-",
  IF(BP$4&gt;$P12,"-",
   CHOOSE(MATCH($H$3,リスト!$AE$3:$AE$5,0),
    ROUNDUP(
      BP12*IF(BP12*$I12&lt;=$L12,$J12,$I12)*
      IF($P12=1,
         $S12/12,
         IF(BP$4=1,
            $T12/12,
            IF(BP$4=$P12,
               $U12/12,
               1
      ))),0),
    ROUNDDOWN(
      BP12*IF(BP12*$I12&lt;=$L12,$J12,$I12)*
      IF($P12=1,
         $S12/12,
         IF(BP$4=1,
            $T12/12,
            IF(BP$4=$P12,
               $U12/12,
               1
      ))),0),
    ROUND(
      BP12*IF(BP12*$I12&lt;=$L12,$J12,$I12)*
      IF($P12=1,
         $S12/12,
         IF(BP$4=1,
            $T12/12,
            IF(BP$4=$P12,
               $U12/12,
               1
      ))),0)
))))</f>
        <v>-</v>
      </c>
      <c r="BR12" s="56" t="str">
        <f ca="1">IF($H12=リスト!$AA$4,"-",
   IF($C12="-","-",
     IF(BR$4&gt;$P12,"-",
       IF(BR$4=1,$E12,OFFSET(BR12,0,-2)-OFFSET(BR12,0,-1)
))))</f>
        <v>-</v>
      </c>
      <c r="BS12" s="57" t="str">
        <f>IF($H12=リスト!$AA$4,"-",
 IF($C12="-","-",
  IF(BR$4&gt;$P12,"-",
   CHOOSE(MATCH($H$3,リスト!$AE$3:$AE$5,0),
    ROUNDUP(
      BR12*IF(BR12*$I12&lt;=$L12,$J12,$I12)*
      IF($P12=1,
         $S12/12,
         IF(BR$4=1,
            $T12/12,
            IF(BR$4=$P12,
               $U12/12,
               1
      ))),0),
    ROUNDDOWN(
      BR12*IF(BR12*$I12&lt;=$L12,$J12,$I12)*
      IF($P12=1,
         $S12/12,
         IF(BR$4=1,
            $T12/12,
            IF(BR$4=$P12,
               $U12/12,
               1
      ))),0),
    ROUND(
      BR12*IF(BR12*$I12&lt;=$L12,$J12,$I12)*
      IF($P12=1,
         $S12/12,
         IF(BR$4=1,
            $T12/12,
            IF(BR$4=$P12,
               $U12/12,
               1
      ))),0)
))))</f>
        <v>-</v>
      </c>
      <c r="BT12" s="56" t="str">
        <f ca="1">IF($H12=リスト!$AA$4,"-",
   IF($C12="-","-",
     IF(BT$4&gt;$P12,"-",
       IF(BT$4=1,$E12,OFFSET(BT12,0,-2)-OFFSET(BT12,0,-1)
))))</f>
        <v>-</v>
      </c>
      <c r="BU12" s="57" t="str">
        <f>IF($H12=リスト!$AA$4,"-",
 IF($C12="-","-",
  IF(BT$4&gt;$P12,"-",
   CHOOSE(MATCH($H$3,リスト!$AE$3:$AE$5,0),
    ROUNDUP(
      BT12*IF(BT12*$I12&lt;=$L12,$J12,$I12)*
      IF($P12=1,
         $S12/12,
         IF(BT$4=1,
            $T12/12,
            IF(BT$4=$P12,
               $U12/12,
               1
      ))),0),
    ROUNDDOWN(
      BT12*IF(BT12*$I12&lt;=$L12,$J12,$I12)*
      IF($P12=1,
         $S12/12,
         IF(BT$4=1,
            $T12/12,
            IF(BT$4=$P12,
               $U12/12,
               1
      ))),0),
    ROUND(
      BT12*IF(BT12*$I12&lt;=$L12,$J12,$I12)*
      IF($P12=1,
         $S12/12,
         IF(BT$4=1,
            $T12/12,
            IF(BT$4=$P12,
               $U12/12,
               1
      ))),0)
))))</f>
        <v>-</v>
      </c>
      <c r="BV12" s="56" t="str">
        <f ca="1">IF($H12=リスト!$AA$4,"-",
   IF($C12="-","-",
     IF(BV$4&gt;$P12,"-",
       IF(BV$4=1,$E12,OFFSET(BV12,0,-2)-OFFSET(BV12,0,-1)
))))</f>
        <v>-</v>
      </c>
      <c r="BW12" s="57" t="str">
        <f>IF($H12=リスト!$AA$4,"-",
 IF($C12="-","-",
  IF(BV$4&gt;$P12,"-",
   CHOOSE(MATCH($H$3,リスト!$AE$3:$AE$5,0),
    ROUNDUP(
      BV12*IF(BV12*$I12&lt;=$L12,$J12,$I12)*
      IF($P12=1,
         $S12/12,
         IF(BV$4=1,
            $T12/12,
            IF(BV$4=$P12,
               $U12/12,
               1
      ))),0),
    ROUNDDOWN(
      BV12*IF(BV12*$I12&lt;=$L12,$J12,$I12)*
      IF($P12=1,
         $S12/12,
         IF(BV$4=1,
            $T12/12,
            IF(BV$4=$P12,
               $U12/12,
               1
      ))),0),
    ROUND(
      BV12*IF(BV12*$I12&lt;=$L12,$J12,$I12)*
      IF($P12=1,
         $S12/12,
         IF(BV$4=1,
            $T12/12,
            IF(BV$4=$P12,
               $U12/12,
               1
      ))),0)
))))</f>
        <v>-</v>
      </c>
      <c r="BX12" s="56" t="str">
        <f ca="1">IF($H12=リスト!$AA$4,"-",
   IF($C12="-","-",
     IF(BX$4&gt;$P12,"-",
       IF(BX$4=1,$E12,OFFSET(BX12,0,-2)-OFFSET(BX12,0,-1)
))))</f>
        <v>-</v>
      </c>
      <c r="BY12" s="57" t="str">
        <f>IF($H12=リスト!$AA$4,"-",
 IF($C12="-","-",
  IF(BX$4&gt;$P12,"-",
   CHOOSE(MATCH($H$3,リスト!$AE$3:$AE$5,0),
    ROUNDUP(
      BX12*IF(BX12*$I12&lt;=$L12,$J12,$I12)*
      IF($P12=1,
         $S12/12,
         IF(BX$4=1,
            $T12/12,
            IF(BX$4=$P12,
               $U12/12,
               1
      ))),0),
    ROUNDDOWN(
      BX12*IF(BX12*$I12&lt;=$L12,$J12,$I12)*
      IF($P12=1,
         $S12/12,
         IF(BX$4=1,
            $T12/12,
            IF(BX$4=$P12,
               $U12/12,
               1
      ))),0),
    ROUND(
      BX12*IF(BX12*$I12&lt;=$L12,$J12,$I12)*
      IF($P12=1,
         $S12/12,
         IF(BX$4=1,
            $T12/12,
            IF(BX$4=$P12,
               $U12/12,
               1
      ))),0)
))))</f>
        <v>-</v>
      </c>
      <c r="BZ12" s="56" t="str">
        <f ca="1">IF($H12=リスト!$AA$4,"-",
   IF($C12="-","-",
     IF(BZ$4&gt;$P12,"-",
       IF(BZ$4=1,$E12,OFFSET(BZ12,0,-2)-OFFSET(BZ12,0,-1)
))))</f>
        <v>-</v>
      </c>
      <c r="CA12" s="57" t="str">
        <f>IF($H12=リスト!$AA$4,"-",
 IF($C12="-","-",
  IF(BZ$4&gt;$P12,"-",
   CHOOSE(MATCH($H$3,リスト!$AE$3:$AE$5,0),
    ROUNDUP(
      BZ12*IF(BZ12*$I12&lt;=$L12,$J12,$I12)*
      IF($P12=1,
         $S12/12,
         IF(BZ$4=1,
            $T12/12,
            IF(BZ$4=$P12,
               $U12/12,
               1
      ))),0),
    ROUNDDOWN(
      BZ12*IF(BZ12*$I12&lt;=$L12,$J12,$I12)*
      IF($P12=1,
         $S12/12,
         IF(BZ$4=1,
            $T12/12,
            IF(BZ$4=$P12,
               $U12/12,
               1
      ))),0),
    ROUND(
      BZ12*IF(BZ12*$I12&lt;=$L12,$J12,$I12)*
      IF($P12=1,
         $S12/12,
         IF(BZ$4=1,
            $T12/12,
            IF(BZ$4=$P12,
               $U12/12,
               1
      ))),0)
))))</f>
        <v>-</v>
      </c>
      <c r="CB12" s="56" t="str">
        <f ca="1">IF($H12=リスト!$AA$4,"-",
   IF($C12="-","-",
     IF(CB$4&gt;$P12,"-",
       IF(CB$4=1,$E12,OFFSET(CB12,0,-2)-OFFSET(CB12,0,-1)
))))</f>
        <v>-</v>
      </c>
      <c r="CC12" s="57" t="str">
        <f>IF($H12=リスト!$AA$4,"-",
 IF($C12="-","-",
  IF(CB$4&gt;$P12,"-",
   CHOOSE(MATCH($H$3,リスト!$AE$3:$AE$5,0),
    ROUNDUP(
      CB12*IF(CB12*$I12&lt;=$L12,$J12,$I12)*
      IF($P12=1,
         $S12/12,
         IF(CB$4=1,
            $T12/12,
            IF(CB$4=$P12,
               $U12/12,
               1
      ))),0),
    ROUNDDOWN(
      CB12*IF(CB12*$I12&lt;=$L12,$J12,$I12)*
      IF($P12=1,
         $S12/12,
         IF(CB$4=1,
            $T12/12,
            IF(CB$4=$P12,
               $U12/12,
               1
      ))),0),
    ROUND(
      CB12*IF(CB12*$I12&lt;=$L12,$J12,$I12)*
      IF($P12=1,
         $S12/12,
         IF(CB$4=1,
            $T12/12,
            IF(CB$4=$P12,
               $U12/12,
               1
      ))),0)
))))</f>
        <v>-</v>
      </c>
      <c r="CD12" s="56" t="str">
        <f ca="1">IF($H12=リスト!$AA$4,"-",
   IF($C12="-","-",
     IF(CD$4&gt;$P12,"-",
       IF(CD$4=1,$E12,OFFSET(CD12,0,-2)-OFFSET(CD12,0,-1)
))))</f>
        <v>-</v>
      </c>
      <c r="CE12" s="57" t="str">
        <f>IF($H12=リスト!$AA$4,"-",
 IF($C12="-","-",
  IF(CD$4&gt;$P12,"-",
   CHOOSE(MATCH($H$3,リスト!$AE$3:$AE$5,0),
    ROUNDUP(
      CD12*IF(CD12*$I12&lt;=$L12,$J12,$I12)*
      IF($P12=1,
         $S12/12,
         IF(CD$4=1,
            $T12/12,
            IF(CD$4=$P12,
               $U12/12,
               1
      ))),0),
    ROUNDDOWN(
      CD12*IF(CD12*$I12&lt;=$L12,$J12,$I12)*
      IF($P12=1,
         $S12/12,
         IF(CD$4=1,
            $T12/12,
            IF(CD$4=$P12,
               $U12/12,
               1
      ))),0),
    ROUND(
      CD12*IF(CD12*$I12&lt;=$L12,$J12,$I12)*
      IF($P12=1,
         $S12/12,
         IF(CD$4=1,
            $T12/12,
            IF(CD$4=$P12,
               $U12/12,
               1
      ))),0)
))))</f>
        <v>-</v>
      </c>
      <c r="CF12" s="56" t="str">
        <f ca="1">IF($H12=リスト!$AA$4,"-",
   IF($C12="-","-",
     IF(CF$4&gt;$P12,"-",
       IF(CF$4=1,$E12,OFFSET(CF12,0,-2)-OFFSET(CF12,0,-1)
))))</f>
        <v>-</v>
      </c>
      <c r="CG12" s="57" t="str">
        <f>IF($H12=リスト!$AA$4,"-",
 IF($C12="-","-",
  IF(CF$4&gt;$P12,"-",
   CHOOSE(MATCH($H$3,リスト!$AE$3:$AE$5,0),
    ROUNDUP(
      CF12*IF(CF12*$I12&lt;=$L12,$J12,$I12)*
      IF($P12=1,
         $S12/12,
         IF(CF$4=1,
            $T12/12,
            IF(CF$4=$P12,
               $U12/12,
               1
      ))),0),
    ROUNDDOWN(
      CF12*IF(CF12*$I12&lt;=$L12,$J12,$I12)*
      IF($P12=1,
         $S12/12,
         IF(CF$4=1,
            $T12/12,
            IF(CF$4=$P12,
               $U12/12,
               1
      ))),0),
    ROUND(
      CF12*IF(CF12*$I12&lt;=$L12,$J12,$I12)*
      IF($P12=1,
         $S12/12,
         IF(CF$4=1,
            $T12/12,
            IF(CF$4=$P12,
               $U12/12,
               1
      ))),0)
))))</f>
        <v>-</v>
      </c>
      <c r="CH12" s="56" t="str">
        <f ca="1">IF($H12=リスト!$AA$4,"-",
   IF($C12="-","-",
     IF(CH$4&gt;$P12,"-",
       IF(CH$4=1,$E12,OFFSET(CH12,0,-2)-OFFSET(CH12,0,-1)
))))</f>
        <v>-</v>
      </c>
      <c r="CI12" s="57" t="str">
        <f>IF($H12=リスト!$AA$4,"-",
 IF($C12="-","-",
  IF(CH$4&gt;$P12,"-",
   CHOOSE(MATCH($H$3,リスト!$AE$3:$AE$5,0),
    ROUNDUP(
      CH12*IF(CH12*$I12&lt;=$L12,$J12,$I12)*
      IF($P12=1,
         $S12/12,
         IF(CH$4=1,
            $T12/12,
            IF(CH$4=$P12,
               $U12/12,
               1
      ))),0),
    ROUNDDOWN(
      CH12*IF(CH12*$I12&lt;=$L12,$J12,$I12)*
      IF($P12=1,
         $S12/12,
         IF(CH$4=1,
            $T12/12,
            IF(CH$4=$P12,
               $U12/12,
               1
      ))),0),
    ROUND(
      CH12*IF(CH12*$I12&lt;=$L12,$J12,$I12)*
      IF($P12=1,
         $S12/12,
         IF(CH$4=1,
            $T12/12,
            IF(CH$4=$P12,
               $U12/12,
               1
      ))),0)
))))</f>
        <v>-</v>
      </c>
      <c r="CJ12" s="56" t="str">
        <f ca="1">IF($H12=リスト!$AA$4,"-",
   IF($C12="-","-",
     IF(CJ$4&gt;$P12,"-",
       IF(CJ$4=1,$E12,OFFSET(CJ12,0,-2)-OFFSET(CJ12,0,-1)
))))</f>
        <v>-</v>
      </c>
      <c r="CK12" s="57" t="str">
        <f>IF($H12=リスト!$AA$4,"-",
 IF($C12="-","-",
  IF(CJ$4&gt;$P12,"-",
   CHOOSE(MATCH($H$3,リスト!$AE$3:$AE$5,0),
    ROUNDUP(
      CJ12*IF(CJ12*$I12&lt;=$L12,$J12,$I12)*
      IF($P12=1,
         $S12/12,
         IF(CJ$4=1,
            $T12/12,
            IF(CJ$4=$P12,
               $U12/12,
               1
      ))),0),
    ROUNDDOWN(
      CJ12*IF(CJ12*$I12&lt;=$L12,$J12,$I12)*
      IF($P12=1,
         $S12/12,
         IF(CJ$4=1,
            $T12/12,
            IF(CJ$4=$P12,
               $U12/12,
               1
      ))),0),
    ROUND(
      CJ12*IF(CJ12*$I12&lt;=$L12,$J12,$I12)*
      IF($P12=1,
         $S12/12,
         IF(CJ$4=1,
            $T12/12,
            IF(CJ$4=$P12,
               $U12/12,
               1
      ))),0)
))))</f>
        <v>-</v>
      </c>
      <c r="CL12" s="56" t="str">
        <f ca="1">IF($H12=リスト!$AA$4,"-",
   IF($C12="-","-",
     IF(CL$4&gt;$P12,"-",
       IF(CL$4=1,$E12,OFFSET(CL12,0,-2)-OFFSET(CL12,0,-1)
))))</f>
        <v>-</v>
      </c>
      <c r="CM12" s="57" t="str">
        <f>IF($H12=リスト!$AA$4,"-",
 IF($C12="-","-",
  IF(CL$4&gt;$P12,"-",
   CHOOSE(MATCH($H$3,リスト!$AE$3:$AE$5,0),
    ROUNDUP(
      CL12*IF(CL12*$I12&lt;=$L12,$J12,$I12)*
      IF($P12=1,
         $S12/12,
         IF(CL$4=1,
            $T12/12,
            IF(CL$4=$P12,
               $U12/12,
               1
      ))),0),
    ROUNDDOWN(
      CL12*IF(CL12*$I12&lt;=$L12,$J12,$I12)*
      IF($P12=1,
         $S12/12,
         IF(CL$4=1,
            $T12/12,
            IF(CL$4=$P12,
               $U12/12,
               1
      ))),0),
    ROUND(
      CL12*IF(CL12*$I12&lt;=$L12,$J12,$I12)*
      IF($P12=1,
         $S12/12,
         IF(CL$4=1,
            $T12/12,
            IF(CL$4=$P12,
               $U12/12,
               1
      ))),0)
))))</f>
        <v>-</v>
      </c>
      <c r="CN12" s="56" t="str">
        <f ca="1">IF($H12=リスト!$AA$4,"-",
   IF($C12="-","-",
     IF(CN$4&gt;$P12,"-",
       IF(CN$4=1,$E12,OFFSET(CN12,0,-2)-OFFSET(CN12,0,-1)
))))</f>
        <v>-</v>
      </c>
      <c r="CO12" s="57" t="str">
        <f>IF($H12=リスト!$AA$4,"-",
 IF($C12="-","-",
  IF(CN$4&gt;$P12,"-",
   CHOOSE(MATCH($H$3,リスト!$AE$3:$AE$5,0),
    ROUNDUP(
      CN12*IF(CN12*$I12&lt;=$L12,$J12,$I12)*
      IF($P12=1,
         $S12/12,
         IF(CN$4=1,
            $T12/12,
            IF(CN$4=$P12,
               $U12/12,
               1
      ))),0),
    ROUNDDOWN(
      CN12*IF(CN12*$I12&lt;=$L12,$J12,$I12)*
      IF($P12=1,
         $S12/12,
         IF(CN$4=1,
            $T12/12,
            IF(CN$4=$P12,
               $U12/12,
               1
      ))),0),
    ROUND(
      CN12*IF(CN12*$I12&lt;=$L12,$J12,$I12)*
      IF($P12=1,
         $S12/12,
         IF(CN$4=1,
            $T12/12,
            IF(CN$4=$P12,
               $U12/12,
               1
      ))),0)
))))</f>
        <v>-</v>
      </c>
      <c r="CP12" s="56" t="str">
        <f ca="1">IF($H12=リスト!$AA$4,"-",
   IF($C12="-","-",
     IF(CP$4&gt;$P12,"-",
       IF(CP$4=1,$E12,OFFSET(CP12,0,-2)-OFFSET(CP12,0,-1)
))))</f>
        <v>-</v>
      </c>
      <c r="CQ12" s="57" t="str">
        <f>IF($H12=リスト!$AA$4,"-",
 IF($C12="-","-",
  IF(CP$4&gt;$P12,"-",
   CHOOSE(MATCH($H$3,リスト!$AE$3:$AE$5,0),
    ROUNDUP(
      CP12*IF(CP12*$I12&lt;=$L12,$J12,$I12)*
      IF($P12=1,
         $S12/12,
         IF(CP$4=1,
            $T12/12,
            IF(CP$4=$P12,
               $U12/12,
               1
      ))),0),
    ROUNDDOWN(
      CP12*IF(CP12*$I12&lt;=$L12,$J12,$I12)*
      IF($P12=1,
         $S12/12,
         IF(CP$4=1,
            $T12/12,
            IF(CP$4=$P12,
               $U12/12,
               1
      ))),0),
    ROUND(
      CP12*IF(CP12*$I12&lt;=$L12,$J12,$I12)*
      IF($P12=1,
         $S12/12,
         IF(CP$4=1,
            $T12/12,
            IF(CP$4=$P12,
               $U12/12,
               1
      ))),0)
))))</f>
        <v>-</v>
      </c>
      <c r="CR12" s="56" t="str">
        <f ca="1">IF($H12=リスト!$AA$4,"-",
   IF($C12="-","-",
     IF(CR$4&gt;$P12,"-",
       IF(CR$4=1,$E12,OFFSET(CR12,0,-2)-OFFSET(CR12,0,-1)
))))</f>
        <v>-</v>
      </c>
      <c r="CS12" s="57" t="str">
        <f>IF($H12=リスト!$AA$4,"-",
 IF($C12="-","-",
  IF(CR$4&gt;$P12,"-",
   CHOOSE(MATCH($H$3,リスト!$AE$3:$AE$5,0),
    ROUNDUP(
      CR12*IF(CR12*$I12&lt;=$L12,$J12,$I12)*
      IF($P12=1,
         $S12/12,
         IF(CR$4=1,
            $T12/12,
            IF(CR$4=$P12,
               $U12/12,
               1
      ))),0),
    ROUNDDOWN(
      CR12*IF(CR12*$I12&lt;=$L12,$J12,$I12)*
      IF($P12=1,
         $S12/12,
         IF(CR$4=1,
            $T12/12,
            IF(CR$4=$P12,
               $U12/12,
               1
      ))),0),
    ROUND(
      CR12*IF(CR12*$I12&lt;=$L12,$J12,$I12)*
      IF($P12=1,
         $S12/12,
         IF(CR$4=1,
            $T12/12,
            IF(CR$4=$P12,
               $U12/12,
               1
      ))),0)
))))</f>
        <v>-</v>
      </c>
      <c r="CT12" s="56" t="str">
        <f ca="1">IF($H12=リスト!$AA$4,"-",
   IF($C12="-","-",
     IF(CT$4&gt;$P12,"-",
       IF(CT$4=1,$E12,OFFSET(CT12,0,-2)-OFFSET(CT12,0,-1)
))))</f>
        <v>-</v>
      </c>
      <c r="CU12" s="57" t="str">
        <f>IF($H12=リスト!$AA$4,"-",
 IF($C12="-","-",
  IF(CT$4&gt;$P12,"-",
   CHOOSE(MATCH($H$3,リスト!$AE$3:$AE$5,0),
    ROUNDUP(
      CT12*IF(CT12*$I12&lt;=$L12,$J12,$I12)*
      IF($P12=1,
         $S12/12,
         IF(CT$4=1,
            $T12/12,
            IF(CT$4=$P12,
               $U12/12,
               1
      ))),0),
    ROUNDDOWN(
      CT12*IF(CT12*$I12&lt;=$L12,$J12,$I12)*
      IF($P12=1,
         $S12/12,
         IF(CT$4=1,
            $T12/12,
            IF(CT$4=$P12,
               $U12/12,
               1
      ))),0),
    ROUND(
      CT12*IF(CT12*$I12&lt;=$L12,$J12,$I12)*
      IF($P12=1,
         $S12/12,
         IF(CT$4=1,
            $T12/12,
            IF(CT$4=$P12,
               $U12/12,
               1
      ))),0)
))))</f>
        <v>-</v>
      </c>
      <c r="CV12" s="56" t="str">
        <f ca="1">IF($H12=リスト!$AA$4,"-",
   IF($C12="-","-",
     IF(CV$4&gt;$P12,"-",
       IF(CV$4=1,$E12,OFFSET(CV12,0,-2)-OFFSET(CV12,0,-1)
))))</f>
        <v>-</v>
      </c>
      <c r="CW12" s="57" t="str">
        <f>IF($H12=リスト!$AA$4,"-",
 IF($C12="-","-",
  IF(CV$4&gt;$P12,"-",
   CHOOSE(MATCH($H$3,リスト!$AE$3:$AE$5,0),
    ROUNDUP(
      CV12*IF(CV12*$I12&lt;=$L12,$J12,$I12)*
      IF($P12=1,
         $S12/12,
         IF(CV$4=1,
            $T12/12,
            IF(CV$4=$P12,
               $U12/12,
               1
      ))),0),
    ROUNDDOWN(
      CV12*IF(CV12*$I12&lt;=$L12,$J12,$I12)*
      IF($P12=1,
         $S12/12,
         IF(CV$4=1,
            $T12/12,
            IF(CV$4=$P12,
               $U12/12,
               1
      ))),0),
    ROUND(
      CV12*IF(CV12*$I12&lt;=$L12,$J12,$I12)*
      IF($P12=1,
         $S12/12,
         IF(CV$4=1,
            $T12/12,
            IF(CV$4=$P12,
               $U12/12,
               1
      ))),0)
))))</f>
        <v>-</v>
      </c>
      <c r="CX12" s="56" t="str">
        <f ca="1">IF($H12=リスト!$AA$4,"-",
   IF($C12="-","-",
     IF(CX$4&gt;$P12,"-",
       IF(CX$4=1,$E12,OFFSET(CX12,0,-2)-OFFSET(CX12,0,-1)
))))</f>
        <v>-</v>
      </c>
      <c r="CY12" s="57" t="str">
        <f>IF($H12=リスト!$AA$4,"-",
 IF($C12="-","-",
  IF(CX$4&gt;$P12,"-",
   CHOOSE(MATCH($H$3,リスト!$AE$3:$AE$5,0),
    ROUNDUP(
      CX12*IF(CX12*$I12&lt;=$L12,$J12,$I12)*
      IF($P12=1,
         $S12/12,
         IF(CX$4=1,
            $T12/12,
            IF(CX$4=$P12,
               $U12/12,
               1
      ))),0),
    ROUNDDOWN(
      CX12*IF(CX12*$I12&lt;=$L12,$J12,$I12)*
      IF($P12=1,
         $S12/12,
         IF(CX$4=1,
            $T12/12,
            IF(CX$4=$P12,
               $U12/12,
               1
      ))),0),
    ROUND(
      CX12*IF(CX12*$I12&lt;=$L12,$J12,$I12)*
      IF($P12=1,
         $S12/12,
         IF(CX$4=1,
            $T12/12,
            IF(CX$4=$P12,
               $U12/12,
               1
      ))),0)
))))</f>
        <v>-</v>
      </c>
      <c r="CZ12" s="56" t="str">
        <f ca="1">IF($H12=リスト!$AA$4,"-",
   IF($C12="-","-",
     IF(CZ$4&gt;$P12,"-",
       IF(CZ$4=1,$E12,OFFSET(CZ12,0,-2)-OFFSET(CZ12,0,-1)
))))</f>
        <v>-</v>
      </c>
      <c r="DA12" s="57" t="str">
        <f>IF($H12=リスト!$AA$4,"-",
 IF($C12="-","-",
  IF(CZ$4&gt;$P12,"-",
   CHOOSE(MATCH($H$3,リスト!$AE$3:$AE$5,0),
    ROUNDUP(
      CZ12*IF(CZ12*$I12&lt;=$L12,$J12,$I12)*
      IF($P12=1,
         $S12/12,
         IF(CZ$4=1,
            $T12/12,
            IF(CZ$4=$P12,
               $U12/12,
               1
      ))),0),
    ROUNDDOWN(
      CZ12*IF(CZ12*$I12&lt;=$L12,$J12,$I12)*
      IF($P12=1,
         $S12/12,
         IF(CZ$4=1,
            $T12/12,
            IF(CZ$4=$P12,
               $U12/12,
               1
      ))),0),
    ROUND(
      CZ12*IF(CZ12*$I12&lt;=$L12,$J12,$I12)*
      IF($P12=1,
         $S12/12,
         IF(CZ$4=1,
            $T12/12,
            IF(CZ$4=$P12,
               $U12/12,
               1
      ))),0)
))))</f>
        <v>-</v>
      </c>
      <c r="DB12" s="56" t="str">
        <f ca="1">IF($H12=リスト!$AA$4,"-",
   IF($C12="-","-",
     IF(DB$4&gt;$P12,"-",
       IF(DB$4=1,$E12,OFFSET(DB12,0,-2)-OFFSET(DB12,0,-1)
))))</f>
        <v>-</v>
      </c>
      <c r="DC12" s="57" t="str">
        <f>IF($H12=リスト!$AA$4,"-",
 IF($C12="-","-",
  IF(DB$4&gt;$P12,"-",
   CHOOSE(MATCH($H$3,リスト!$AE$3:$AE$5,0),
    ROUNDUP(
      DB12*IF(DB12*$I12&lt;=$L12,$J12,$I12)*
      IF($P12=1,
         $S12/12,
         IF(DB$4=1,
            $T12/12,
            IF(DB$4=$P12,
               $U12/12,
               1
      ))),0),
    ROUNDDOWN(
      DB12*IF(DB12*$I12&lt;=$L12,$J12,$I12)*
      IF($P12=1,
         $S12/12,
         IF(DB$4=1,
            $T12/12,
            IF(DB$4=$P12,
               $U12/12,
               1
      ))),0),
    ROUND(
      DB12*IF(DB12*$I12&lt;=$L12,$J12,$I12)*
      IF($P12=1,
         $S12/12,
         IF(DB$4=1,
            $T12/12,
            IF(DB$4=$P12,
               $U12/12,
               1
      ))),0)
))))</f>
        <v>-</v>
      </c>
      <c r="DD12" s="56" t="str">
        <f ca="1">IF($H12=リスト!$AA$4,"-",
   IF($C12="-","-",
     IF(DD$4&gt;$P12,"-",
       IF(DD$4=1,$E12,OFFSET(DD12,0,-2)-OFFSET(DD12,0,-1)
))))</f>
        <v>-</v>
      </c>
      <c r="DE12" s="57" t="str">
        <f>IF($H12=リスト!$AA$4,"-",
 IF($C12="-","-",
  IF(DD$4&gt;$P12,"-",
   CHOOSE(MATCH($H$3,リスト!$AE$3:$AE$5,0),
    ROUNDUP(
      DD12*IF(DD12*$I12&lt;=$L12,$J12,$I12)*
      IF($P12=1,
         $S12/12,
         IF(DD$4=1,
            $T12/12,
            IF(DD$4=$P12,
               $U12/12,
               1
      ))),0),
    ROUNDDOWN(
      DD12*IF(DD12*$I12&lt;=$L12,$J12,$I12)*
      IF($P12=1,
         $S12/12,
         IF(DD$4=1,
            $T12/12,
            IF(DD$4=$P12,
               $U12/12,
               1
      ))),0),
    ROUND(
      DD12*IF(DD12*$I12&lt;=$L12,$J12,$I12)*
      IF($P12=1,
         $S12/12,
         IF(DD$4=1,
            $T12/12,
            IF(DD$4=$P12,
               $U12/12,
               1
      ))),0)
))))</f>
        <v>-</v>
      </c>
      <c r="DF12" s="56" t="str">
        <f ca="1">IF($H12=リスト!$AA$4,"-",
   IF($C12="-","-",
     IF(DF$4&gt;$P12,"-",
       IF(DF$4=1,$E12,OFFSET(DF12,0,-2)-OFFSET(DF12,0,-1)
))))</f>
        <v>-</v>
      </c>
      <c r="DG12" s="57" t="str">
        <f>IF($H12=リスト!$AA$4,"-",
 IF($C12="-","-",
  IF(DF$4&gt;$P12,"-",
   CHOOSE(MATCH($H$3,リスト!$AE$3:$AE$5,0),
    ROUNDUP(
      DF12*IF(DF12*$I12&lt;=$L12,$J12,$I12)*
      IF($P12=1,
         $S12/12,
         IF(DF$4=1,
            $T12/12,
            IF(DF$4=$P12,
               $U12/12,
               1
      ))),0),
    ROUNDDOWN(
      DF12*IF(DF12*$I12&lt;=$L12,$J12,$I12)*
      IF($P12=1,
         $S12/12,
         IF(DF$4=1,
            $T12/12,
            IF(DF$4=$P12,
               $U12/12,
               1
      ))),0),
    ROUND(
      DF12*IF(DF12*$I12&lt;=$L12,$J12,$I12)*
      IF($P12=1,
         $S12/12,
         IF(DF$4=1,
            $T12/12,
            IF(DF$4=$P12,
               $U12/12,
               1
      ))),0)
))))</f>
        <v>-</v>
      </c>
      <c r="DH12" s="56" t="str">
        <f ca="1">IF($H12=リスト!$AA$4,"-",
   IF($C12="-","-",
     IF(DH$4&gt;$P12,"-",
       IF(DH$4=1,$E12,OFFSET(DH12,0,-2)-OFFSET(DH12,0,-1)
))))</f>
        <v>-</v>
      </c>
      <c r="DI12" s="57" t="str">
        <f>IF($H12=リスト!$AA$4,"-",
 IF($C12="-","-",
  IF(DH$4&gt;$P12,"-",
   CHOOSE(MATCH($H$3,リスト!$AE$3:$AE$5,0),
    ROUNDUP(
      DH12*IF(DH12*$I12&lt;=$L12,$J12,$I12)*
      IF($P12=1,
         $S12/12,
         IF(DH$4=1,
            $T12/12,
            IF(DH$4=$P12,
               $U12/12,
               1
      ))),0),
    ROUNDDOWN(
      DH12*IF(DH12*$I12&lt;=$L12,$J12,$I12)*
      IF($P12=1,
         $S12/12,
         IF(DH$4=1,
            $T12/12,
            IF(DH$4=$P12,
               $U12/12,
               1
      ))),0),
    ROUND(
      DH12*IF(DH12*$I12&lt;=$L12,$J12,$I12)*
      IF($P12=1,
         $S12/12,
         IF(DH$4=1,
            $T12/12,
            IF(DH$4=$P12,
               $U12/12,
               1
      ))),0)
))))</f>
        <v>-</v>
      </c>
      <c r="DJ12" s="56" t="str">
        <f ca="1">IF($H12=リスト!$AA$4,"-",
   IF($C12="-","-",
     IF(DJ$4&gt;$P12,"-",
       IF(DJ$4=1,$E12,OFFSET(DJ12,0,-2)-OFFSET(DJ12,0,-1)
))))</f>
        <v>-</v>
      </c>
      <c r="DK12" s="57" t="str">
        <f>IF($H12=リスト!$AA$4,"-",
 IF($C12="-","-",
  IF(DJ$4&gt;$P12,"-",
   CHOOSE(MATCH($H$3,リスト!$AE$3:$AE$5,0),
    ROUNDUP(
      DJ12*IF(DJ12*$I12&lt;=$L12,$J12,$I12)*
      IF($P12=1,
         $S12/12,
         IF(DJ$4=1,
            $T12/12,
            IF(DJ$4=$P12,
               $U12/12,
               1
      ))),0),
    ROUNDDOWN(
      DJ12*IF(DJ12*$I12&lt;=$L12,$J12,$I12)*
      IF($P12=1,
         $S12/12,
         IF(DJ$4=1,
            $T12/12,
            IF(DJ$4=$P12,
               $U12/12,
               1
      ))),0),
    ROUND(
      DJ12*IF(DJ12*$I12&lt;=$L12,$J12,$I12)*
      IF($P12=1,
         $S12/12,
         IF(DJ$4=1,
            $T12/12,
            IF(DJ$4=$P12,
               $U12/12,
               1
      ))),0)
))))</f>
        <v>-</v>
      </c>
      <c r="DL12" s="56" t="str">
        <f ca="1">IF($H12=リスト!$AA$4,"-",
   IF($C12="-","-",
     IF(DL$4&gt;$P12,"-",
       IF(DL$4=1,$E12,OFFSET(DL12,0,-2)-OFFSET(DL12,0,-1)
))))</f>
        <v>-</v>
      </c>
      <c r="DM12" s="57" t="str">
        <f>IF($H12=リスト!$AA$4,"-",
 IF($C12="-","-",
  IF(DL$4&gt;$P12,"-",
   CHOOSE(MATCH($H$3,リスト!$AE$3:$AE$5,0),
    ROUNDUP(
      DL12*IF(DL12*$I12&lt;=$L12,$J12,$I12)*
      IF($P12=1,
         $S12/12,
         IF(DL$4=1,
            $T12/12,
            IF(DL$4=$P12,
               $U12/12,
               1
      ))),0),
    ROUNDDOWN(
      DL12*IF(DL12*$I12&lt;=$L12,$J12,$I12)*
      IF($P12=1,
         $S12/12,
         IF(DL$4=1,
            $T12/12,
            IF(DL$4=$P12,
               $U12/12,
               1
      ))),0),
    ROUND(
      DL12*IF(DL12*$I12&lt;=$L12,$J12,$I12)*
      IF($P12=1,
         $S12/12,
         IF(DL$4=1,
            $T12/12,
            IF(DL$4=$P12,
               $U12/12,
               1
      ))),0)
))))</f>
        <v>-</v>
      </c>
      <c r="DN12" s="56" t="str">
        <f ca="1">IF($H12=リスト!$AA$4,"-",
   IF($C12="-","-",
     IF(DN$4&gt;$P12,"-",
       IF(DN$4=1,$E12,OFFSET(DN12,0,-2)-OFFSET(DN12,0,-1)
))))</f>
        <v>-</v>
      </c>
      <c r="DO12" s="57" t="str">
        <f>IF($H12=リスト!$AA$4,"-",
 IF($C12="-","-",
  IF(DN$4&gt;$P12,"-",
   CHOOSE(MATCH($H$3,リスト!$AE$3:$AE$5,0),
    ROUNDUP(
      DN12*IF(DN12*$I12&lt;=$L12,$J12,$I12)*
      IF($P12=1,
         $S12/12,
         IF(DN$4=1,
            $T12/12,
            IF(DN$4=$P12,
               $U12/12,
               1
      ))),0),
    ROUNDDOWN(
      DN12*IF(DN12*$I12&lt;=$L12,$J12,$I12)*
      IF($P12=1,
         $S12/12,
         IF(DN$4=1,
            $T12/12,
            IF(DN$4=$P12,
               $U12/12,
               1
      ))),0),
    ROUND(
      DN12*IF(DN12*$I12&lt;=$L12,$J12,$I12)*
      IF($P12=1,
         $S12/12,
         IF(DN$4=1,
            $T12/12,
            IF(DN$4=$P12,
               $U12/12,
               1
      ))),0)
))))</f>
        <v>-</v>
      </c>
      <c r="DP12" s="56" t="str">
        <f ca="1">IF($H12=リスト!$AA$4,"-",
   IF($C12="-","-",
     IF(DP$4&gt;$P12,"-",
       IF(DP$4=1,$E12,OFFSET(DP12,0,-2)-OFFSET(DP12,0,-1)
))))</f>
        <v>-</v>
      </c>
      <c r="DQ12" s="57" t="str">
        <f>IF($H12=リスト!$AA$4,"-",
 IF($C12="-","-",
  IF(DP$4&gt;$P12,"-",
   CHOOSE(MATCH($H$3,リスト!$AE$3:$AE$5,0),
    ROUNDUP(
      DP12*IF(DP12*$I12&lt;=$L12,$J12,$I12)*
      IF($P12=1,
         $S12/12,
         IF(DP$4=1,
            $T12/12,
            IF(DP$4=$P12,
               $U12/12,
               1
      ))),0),
    ROUNDDOWN(
      DP12*IF(DP12*$I12&lt;=$L12,$J12,$I12)*
      IF($P12=1,
         $S12/12,
         IF(DP$4=1,
            $T12/12,
            IF(DP$4=$P12,
               $U12/12,
               1
      ))),0),
    ROUND(
      DP12*IF(DP12*$I12&lt;=$L12,$J12,$I12)*
      IF($P12=1,
         $S12/12,
         IF(DP$4=1,
            $T12/12,
            IF(DP$4=$P12,
               $U12/12,
               1
      ))),0)
))))</f>
        <v>-</v>
      </c>
      <c r="DR12" s="56" t="str">
        <f ca="1">IF($H12=リスト!$AA$4,"-",
   IF($C12="-","-",
     IF(DR$4&gt;$P12,"-",
       IF(DR$4=1,$E12,OFFSET(DR12,0,-2)-OFFSET(DR12,0,-1)
))))</f>
        <v>-</v>
      </c>
      <c r="DS12" s="57" t="str">
        <f>IF($H12=リスト!$AA$4,"-",
 IF($C12="-","-",
  IF(DR$4&gt;$P12,"-",
   CHOOSE(MATCH($H$3,リスト!$AE$3:$AE$5,0),
    ROUNDUP(
      DR12*IF(DR12*$I12&lt;=$L12,$J12,$I12)*
      IF($P12=1,
         $S12/12,
         IF(DR$4=1,
            $T12/12,
            IF(DR$4=$P12,
               $U12/12,
               1
      ))),0),
    ROUNDDOWN(
      DR12*IF(DR12*$I12&lt;=$L12,$J12,$I12)*
      IF($P12=1,
         $S12/12,
         IF(DR$4=1,
            $T12/12,
            IF(DR$4=$P12,
               $U12/12,
               1
      ))),0),
    ROUND(
      DR12*IF(DR12*$I12&lt;=$L12,$J12,$I12)*
      IF($P12=1,
         $S12/12,
         IF(DR$4=1,
            $T12/12,
            IF(DR$4=$P12,
               $U12/12,
               1
      ))),0)
))))</f>
        <v>-</v>
      </c>
      <c r="DT12" s="56" t="str" cm="1">
        <f t="array" ref="DT12">IF($H12&lt;&gt;リスト!$AA$3,"-",$E12-SUMPRODUCT(IFERROR($Y12:$DS12*1,0), --(MOD(COLUMN($Y12:$DS12)-COLUMN($Y12),2)=0)))</f>
        <v>-</v>
      </c>
      <c r="DU12" s="56" t="str">
        <f>IF($H12&lt;&gt;リスト!$AA$4,"-",
    IF($H$3=リスト!$AE$3,$E12-ROUNDUP($E12*I12*$W12/12,0),
    IF($H$3=リスト!$AE$4,$E12-ROUNDDOWN($E12*I12*$W12/12,0),
    IF($H$3=リスト!$AE$5,$E12-ROUND($E12*I12*$W12/12,0),
    "-"))))</f>
        <v>-</v>
      </c>
    </row>
    <row r="13" spans="2:125">
      <c r="B13" s="54">
        <v>8</v>
      </c>
      <c r="C13" s="55" t="str">
        <f>IF(財産処分報告用!$C13="","-",財産処分報告用!$C13)</f>
        <v>-</v>
      </c>
      <c r="D13" s="55" t="str">
        <f>財産処分報告用!$E13</f>
        <v>-</v>
      </c>
      <c r="E13" s="56" t="str">
        <f>IF(財産処分報告用!$J13="","-",財産処分報告用!$J13)</f>
        <v>-</v>
      </c>
      <c r="F13" s="101" t="str">
        <f>IF(財産処分報告用!$K13="","-",財産処分報告用!$K13)</f>
        <v>-</v>
      </c>
      <c r="G13" s="101" t="str">
        <f>IF(財産処分報告用!$L13="","-",財産処分報告用!$L13)</f>
        <v>-</v>
      </c>
      <c r="H13" s="55" t="str">
        <f>IF(財産処分報告用!$M13="","-",財産処分報告用!$M13)</f>
        <v>-</v>
      </c>
      <c r="I13" s="55" t="str">
        <f>IF(OR($D13="-",$H13="-"),"-",INDEX(リスト!$AG$2:$AI$101,MATCH($D13,リスト!$AG$2:$AG$101,0),MATCH($H13,リスト!$AG$2:$AI$2,0)))</f>
        <v>-</v>
      </c>
      <c r="J13" s="55" t="str">
        <f>IF(OR($D13="-",$H13="-"),"-",IF($H13=リスト!$AA$4,"-",INDEX(リスト!$AG$2:$AK$101,MATCH($D13,リスト!$AG$2:$AG$101,0),4)))</f>
        <v>-</v>
      </c>
      <c r="K13" s="55" t="str">
        <f>IF(OR($D13="-",$H13="-"),"-",IF($H13=リスト!$AA$4,"-",INDEX(リスト!$AG$2:$AK$101,MATCH($D13,リスト!$AG$2:$AG$101,0),5)))</f>
        <v>-</v>
      </c>
      <c r="L13" s="55" t="str">
        <f t="shared" si="0"/>
        <v>-</v>
      </c>
      <c r="M13" s="101" t="str">
        <f t="shared" si="1"/>
        <v>-</v>
      </c>
      <c r="N13" s="101" t="str">
        <f t="shared" si="2"/>
        <v>-</v>
      </c>
      <c r="O13" s="101" t="str">
        <f t="shared" si="3"/>
        <v>-</v>
      </c>
      <c r="P13" s="102" t="str">
        <f t="shared" si="4"/>
        <v>-</v>
      </c>
      <c r="Q13" s="115" t="str">
        <f t="shared" si="5"/>
        <v>-</v>
      </c>
      <c r="R13" s="116" t="str">
        <f t="shared" si="6"/>
        <v>-</v>
      </c>
      <c r="S13" s="102" t="str">
        <f t="shared" si="7"/>
        <v>-</v>
      </c>
      <c r="T13" s="102" t="str">
        <f t="shared" si="8"/>
        <v>-</v>
      </c>
      <c r="U13" s="102" t="str">
        <f t="shared" si="9"/>
        <v>-</v>
      </c>
      <c r="V13" s="102" t="str">
        <f t="shared" si="10"/>
        <v>-</v>
      </c>
      <c r="W13" s="55" t="str">
        <f t="shared" si="11"/>
        <v>-</v>
      </c>
      <c r="X13" s="56" t="str">
        <f ca="1">IF($H13=リスト!$AA$4,"-",
   IF($C13="-","-",
     IF(X$4&gt;$P13,"-",
       IF(X$4=1,$E13,OFFSET(X13,0,-2)-OFFSET(X13,0,-1)
))))</f>
        <v>-</v>
      </c>
      <c r="Y13" s="57" t="str">
        <f>IF($H13=リスト!$AA$4,"-",
 IF($C13="-","-",
  IF(X$4&gt;$P13,"-",
   CHOOSE(MATCH($H$3,リスト!$AE$3:$AE$5,0),
    ROUNDUP(
      X13*IF(X13*$I13&lt;=$L13,$J13,$I13)*
      IF($P13=1,
         $S13/12,
         IF(X$4=1,
            $T13/12,
            IF(X$4=$P13,
               $U13/12,
               1
      ))),0),
    ROUNDDOWN(
      X13*IF(X13*$I13&lt;=$L13,$J13,$I13)*
      IF($P13=1,
         $S13/12,
         IF(X$4=1,
            $T13/12,
            IF(X$4=$P13,
               $U13/12,
               1
      ))),0),
    ROUND(
      X13*IF(X13*$I13&lt;=$L13,$J13,$I13)*
      IF($P13=1,
         $S13/12,
         IF(X$4=1,
            $T13/12,
            IF(X$4=$P13,
               $U13/12,
               1
      ))),0)
))))</f>
        <v>-</v>
      </c>
      <c r="Z13" s="56" t="str">
        <f ca="1">IF($H13=リスト!$AA$4,"-",
   IF($C13="-","-",
     IF(Z$4&gt;$P13,"-",
       IF(Z$4=1,$E13,OFFSET(Z13,0,-2)-OFFSET(Z13,0,-1)
))))</f>
        <v>-</v>
      </c>
      <c r="AA13" s="57" t="str">
        <f>IF($H13=リスト!$AA$4,"-",
 IF($C13="-","-",
  IF(Z$4&gt;$P13,"-",
   CHOOSE(MATCH($H$3,リスト!$AE$3:$AE$5,0),
    ROUNDUP(
      Z13*IF(Z13*$I13&lt;=$L13,$J13,$I13)*
      IF($P13=1,
         $S13/12,
         IF(Z$4=1,
            $T13/12,
            IF(Z$4=$P13,
               $U13/12,
               1
      ))),0),
    ROUNDDOWN(
      Z13*IF(Z13*$I13&lt;=$L13,$J13,$I13)*
      IF($P13=1,
         $S13/12,
         IF(Z$4=1,
            $T13/12,
            IF(Z$4=$P13,
               $U13/12,
               1
      ))),0),
    ROUND(
      Z13*IF(Z13*$I13&lt;=$L13,$J13,$I13)*
      IF($P13=1,
         $S13/12,
         IF(Z$4=1,
            $T13/12,
            IF(Z$4=$P13,
               $U13/12,
               1
      ))),0)
))))</f>
        <v>-</v>
      </c>
      <c r="AB13" s="56" t="str">
        <f ca="1">IF($H13=リスト!$AA$4,"-",
   IF($C13="-","-",
     IF(AB$4&gt;$P13,"-",
       IF(AB$4=1,$E13,OFFSET(AB13,0,-2)-OFFSET(AB13,0,-1)
))))</f>
        <v>-</v>
      </c>
      <c r="AC13" s="57" t="str">
        <f>IF($H13=リスト!$AA$4,"-",
 IF($C13="-","-",
  IF(AB$4&gt;$P13,"-",
   CHOOSE(MATCH($H$3,リスト!$AE$3:$AE$5,0),
    ROUNDUP(
      AB13*IF(AB13*$I13&lt;=$L13,$J13,$I13)*
      IF($P13=1,
         $S13/12,
         IF(AB$4=1,
            $T13/12,
            IF(AB$4=$P13,
               $U13/12,
               1
      ))),0),
    ROUNDDOWN(
      AB13*IF(AB13*$I13&lt;=$L13,$J13,$I13)*
      IF($P13=1,
         $S13/12,
         IF(AB$4=1,
            $T13/12,
            IF(AB$4=$P13,
               $U13/12,
               1
      ))),0),
    ROUND(
      AB13*IF(AB13*$I13&lt;=$L13,$J13,$I13)*
      IF($P13=1,
         $S13/12,
         IF(AB$4=1,
            $T13/12,
            IF(AB$4=$P13,
               $U13/12,
               1
      ))),0)
))))</f>
        <v>-</v>
      </c>
      <c r="AD13" s="56" t="str">
        <f ca="1">IF($H13=リスト!$AA$4,"-",
   IF($C13="-","-",
     IF(AD$4&gt;$P13,"-",
       IF(AD$4=1,$E13,OFFSET(AD13,0,-2)-OFFSET(AD13,0,-1)
))))</f>
        <v>-</v>
      </c>
      <c r="AE13" s="57" t="str">
        <f>IF($H13=リスト!$AA$4,"-",
 IF($C13="-","-",
  IF(AD$4&gt;$P13,"-",
   CHOOSE(MATCH($H$3,リスト!$AE$3:$AE$5,0),
    ROUNDUP(
      AD13*IF(AD13*$I13&lt;=$L13,$J13,$I13)*
      IF($P13=1,
         $S13/12,
         IF(AD$4=1,
            $T13/12,
            IF(AD$4=$P13,
               $U13/12,
               1
      ))),0),
    ROUNDDOWN(
      AD13*IF(AD13*$I13&lt;=$L13,$J13,$I13)*
      IF($P13=1,
         $S13/12,
         IF(AD$4=1,
            $T13/12,
            IF(AD$4=$P13,
               $U13/12,
               1
      ))),0),
    ROUND(
      AD13*IF(AD13*$I13&lt;=$L13,$J13,$I13)*
      IF($P13=1,
         $S13/12,
         IF(AD$4=1,
            $T13/12,
            IF(AD$4=$P13,
               $U13/12,
               1
      ))),0)
))))</f>
        <v>-</v>
      </c>
      <c r="AF13" s="56" t="str">
        <f ca="1">IF($H13=リスト!$AA$4,"-",
   IF($C13="-","-",
     IF(AF$4&gt;$P13,"-",
       IF(AF$4=1,$E13,OFFSET(AF13,0,-2)-OFFSET(AF13,0,-1)
))))</f>
        <v>-</v>
      </c>
      <c r="AG13" s="57" t="str">
        <f>IF($H13=リスト!$AA$4,"-",
 IF($C13="-","-",
  IF(AF$4&gt;$P13,"-",
   CHOOSE(MATCH($H$3,リスト!$AE$3:$AE$5,0),
    ROUNDUP(
      AF13*IF(AF13*$I13&lt;=$L13,$J13,$I13)*
      IF($P13=1,
         $S13/12,
         IF(AF$4=1,
            $T13/12,
            IF(AF$4=$P13,
               $U13/12,
               1
      ))),0),
    ROUNDDOWN(
      AF13*IF(AF13*$I13&lt;=$L13,$J13,$I13)*
      IF($P13=1,
         $S13/12,
         IF(AF$4=1,
            $T13/12,
            IF(AF$4=$P13,
               $U13/12,
               1
      ))),0),
    ROUND(
      AF13*IF(AF13*$I13&lt;=$L13,$J13,$I13)*
      IF($P13=1,
         $S13/12,
         IF(AF$4=1,
            $T13/12,
            IF(AF$4=$P13,
               $U13/12,
               1
      ))),0)
))))</f>
        <v>-</v>
      </c>
      <c r="AH13" s="56" t="str">
        <f ca="1">IF($H13=リスト!$AA$4,"-",
   IF($C13="-","-",
     IF(AH$4&gt;$P13,"-",
       IF(AH$4=1,$E13,OFFSET(AH13,0,-2)-OFFSET(AH13,0,-1)
))))</f>
        <v>-</v>
      </c>
      <c r="AI13" s="57" t="str">
        <f>IF($H13=リスト!$AA$4,"-",
 IF($C13="-","-",
  IF(AH$4&gt;$P13,"-",
   CHOOSE(MATCH($H$3,リスト!$AE$3:$AE$5,0),
    ROUNDUP(
      AH13*IF(AH13*$I13&lt;=$L13,$J13,$I13)*
      IF($P13=1,
         $S13/12,
         IF(AH$4=1,
            $T13/12,
            IF(AH$4=$P13,
               $U13/12,
               1
      ))),0),
    ROUNDDOWN(
      AH13*IF(AH13*$I13&lt;=$L13,$J13,$I13)*
      IF($P13=1,
         $S13/12,
         IF(AH$4=1,
            $T13/12,
            IF(AH$4=$P13,
               $U13/12,
               1
      ))),0),
    ROUND(
      AH13*IF(AH13*$I13&lt;=$L13,$J13,$I13)*
      IF($P13=1,
         $S13/12,
         IF(AH$4=1,
            $T13/12,
            IF(AH$4=$P13,
               $U13/12,
               1
      ))),0)
))))</f>
        <v>-</v>
      </c>
      <c r="AJ13" s="56" t="str">
        <f ca="1">IF($H13=リスト!$AA$4,"-",
   IF($C13="-","-",
     IF(AJ$4&gt;$P13,"-",
       IF(AJ$4=1,$E13,OFFSET(AJ13,0,-2)-OFFSET(AJ13,0,-1)
))))</f>
        <v>-</v>
      </c>
      <c r="AK13" s="57" t="str">
        <f>IF($H13=リスト!$AA$4,"-",
 IF($C13="-","-",
  IF(AJ$4&gt;$P13,"-",
   CHOOSE(MATCH($H$3,リスト!$AE$3:$AE$5,0),
    ROUNDUP(
      AJ13*IF(AJ13*$I13&lt;=$L13,$J13,$I13)*
      IF($P13=1,
         $S13/12,
         IF(AJ$4=1,
            $T13/12,
            IF(AJ$4=$P13,
               $U13/12,
               1
      ))),0),
    ROUNDDOWN(
      AJ13*IF(AJ13*$I13&lt;=$L13,$J13,$I13)*
      IF($P13=1,
         $S13/12,
         IF(AJ$4=1,
            $T13/12,
            IF(AJ$4=$P13,
               $U13/12,
               1
      ))),0),
    ROUND(
      AJ13*IF(AJ13*$I13&lt;=$L13,$J13,$I13)*
      IF($P13=1,
         $S13/12,
         IF(AJ$4=1,
            $T13/12,
            IF(AJ$4=$P13,
               $U13/12,
               1
      ))),0)
))))</f>
        <v>-</v>
      </c>
      <c r="AL13" s="56" t="str">
        <f ca="1">IF($H13=リスト!$AA$4,"-",
   IF($C13="-","-",
     IF(AL$4&gt;$P13,"-",
       IF(AL$4=1,$E13,OFFSET(AL13,0,-2)-OFFSET(AL13,0,-1)
))))</f>
        <v>-</v>
      </c>
      <c r="AM13" s="57" t="str">
        <f>IF($H13=リスト!$AA$4,"-",
 IF($C13="-","-",
  IF(AL$4&gt;$P13,"-",
   CHOOSE(MATCH($H$3,リスト!$AE$3:$AE$5,0),
    ROUNDUP(
      AL13*IF(AL13*$I13&lt;=$L13,$J13,$I13)*
      IF($P13=1,
         $S13/12,
         IF(AL$4=1,
            $T13/12,
            IF(AL$4=$P13,
               $U13/12,
               1
      ))),0),
    ROUNDDOWN(
      AL13*IF(AL13*$I13&lt;=$L13,$J13,$I13)*
      IF($P13=1,
         $S13/12,
         IF(AL$4=1,
            $T13/12,
            IF(AL$4=$P13,
               $U13/12,
               1
      ))),0),
    ROUND(
      AL13*IF(AL13*$I13&lt;=$L13,$J13,$I13)*
      IF($P13=1,
         $S13/12,
         IF(AL$4=1,
            $T13/12,
            IF(AL$4=$P13,
               $U13/12,
               1
      ))),0)
))))</f>
        <v>-</v>
      </c>
      <c r="AN13" s="56" t="str">
        <f ca="1">IF($H13=リスト!$AA$4,"-",
   IF($C13="-","-",
     IF(AN$4&gt;$P13,"-",
       IF(AN$4=1,$E13,OFFSET(AN13,0,-2)-OFFSET(AN13,0,-1)
))))</f>
        <v>-</v>
      </c>
      <c r="AO13" s="57" t="str">
        <f>IF($H13=リスト!$AA$4,"-",
 IF($C13="-","-",
  IF(AN$4&gt;$P13,"-",
   CHOOSE(MATCH($H$3,リスト!$AE$3:$AE$5,0),
    ROUNDUP(
      AN13*IF(AN13*$I13&lt;=$L13,$J13,$I13)*
      IF($P13=1,
         $S13/12,
         IF(AN$4=1,
            $T13/12,
            IF(AN$4=$P13,
               $U13/12,
               1
      ))),0),
    ROUNDDOWN(
      AN13*IF(AN13*$I13&lt;=$L13,$J13,$I13)*
      IF($P13=1,
         $S13/12,
         IF(AN$4=1,
            $T13/12,
            IF(AN$4=$P13,
               $U13/12,
               1
      ))),0),
    ROUND(
      AN13*IF(AN13*$I13&lt;=$L13,$J13,$I13)*
      IF($P13=1,
         $S13/12,
         IF(AN$4=1,
            $T13/12,
            IF(AN$4=$P13,
               $U13/12,
               1
      ))),0)
))))</f>
        <v>-</v>
      </c>
      <c r="AP13" s="56" t="str">
        <f ca="1">IF($H13=リスト!$AA$4,"-",
   IF($C13="-","-",
     IF(AP$4&gt;$P13,"-",
       IF(AP$4=1,$E13,OFFSET(AP13,0,-2)-OFFSET(AP13,0,-1)
))))</f>
        <v>-</v>
      </c>
      <c r="AQ13" s="57" t="str">
        <f>IF($H13=リスト!$AA$4,"-",
 IF($C13="-","-",
  IF(AP$4&gt;$P13,"-",
   CHOOSE(MATCH($H$3,リスト!$AE$3:$AE$5,0),
    ROUNDUP(
      AP13*IF(AP13*$I13&lt;=$L13,$J13,$I13)*
      IF($P13=1,
         $S13/12,
         IF(AP$4=1,
            $T13/12,
            IF(AP$4=$P13,
               $U13/12,
               1
      ))),0),
    ROUNDDOWN(
      AP13*IF(AP13*$I13&lt;=$L13,$J13,$I13)*
      IF($P13=1,
         $S13/12,
         IF(AP$4=1,
            $T13/12,
            IF(AP$4=$P13,
               $U13/12,
               1
      ))),0),
    ROUND(
      AP13*IF(AP13*$I13&lt;=$L13,$J13,$I13)*
      IF($P13=1,
         $S13/12,
         IF(AP$4=1,
            $T13/12,
            IF(AP$4=$P13,
               $U13/12,
               1
      ))),0)
))))</f>
        <v>-</v>
      </c>
      <c r="AR13" s="56" t="str">
        <f ca="1">IF($H13=リスト!$AA$4,"-",
   IF($C13="-","-",
     IF(AR$4&gt;$P13,"-",
       IF(AR$4=1,$E13,OFFSET(AR13,0,-2)-OFFSET(AR13,0,-1)
))))</f>
        <v>-</v>
      </c>
      <c r="AS13" s="57" t="str">
        <f>IF($H13=リスト!$AA$4,"-",
 IF($C13="-","-",
  IF(AR$4&gt;$P13,"-",
   CHOOSE(MATCH($H$3,リスト!$AE$3:$AE$5,0),
    ROUNDUP(
      AR13*IF(AR13*$I13&lt;=$L13,$J13,$I13)*
      IF($P13=1,
         $S13/12,
         IF(AR$4=1,
            $T13/12,
            IF(AR$4=$P13,
               $U13/12,
               1
      ))),0),
    ROUNDDOWN(
      AR13*IF(AR13*$I13&lt;=$L13,$J13,$I13)*
      IF($P13=1,
         $S13/12,
         IF(AR$4=1,
            $T13/12,
            IF(AR$4=$P13,
               $U13/12,
               1
      ))),0),
    ROUND(
      AR13*IF(AR13*$I13&lt;=$L13,$J13,$I13)*
      IF($P13=1,
         $S13/12,
         IF(AR$4=1,
            $T13/12,
            IF(AR$4=$P13,
               $U13/12,
               1
      ))),0)
))))</f>
        <v>-</v>
      </c>
      <c r="AT13" s="56" t="str">
        <f ca="1">IF($H13=リスト!$AA$4,"-",
   IF($C13="-","-",
     IF(AT$4&gt;$P13,"-",
       IF(AT$4=1,$E13,OFFSET(AT13,0,-2)-OFFSET(AT13,0,-1)
))))</f>
        <v>-</v>
      </c>
      <c r="AU13" s="57" t="str">
        <f>IF($H13=リスト!$AA$4,"-",
 IF($C13="-","-",
  IF(AT$4&gt;$P13,"-",
   CHOOSE(MATCH($H$3,リスト!$AE$3:$AE$5,0),
    ROUNDUP(
      AT13*IF(AT13*$I13&lt;=$L13,$J13,$I13)*
      IF($P13=1,
         $S13/12,
         IF(AT$4=1,
            $T13/12,
            IF(AT$4=$P13,
               $U13/12,
               1
      ))),0),
    ROUNDDOWN(
      AT13*IF(AT13*$I13&lt;=$L13,$J13,$I13)*
      IF($P13=1,
         $S13/12,
         IF(AT$4=1,
            $T13/12,
            IF(AT$4=$P13,
               $U13/12,
               1
      ))),0),
    ROUND(
      AT13*IF(AT13*$I13&lt;=$L13,$J13,$I13)*
      IF($P13=1,
         $S13/12,
         IF(AT$4=1,
            $T13/12,
            IF(AT$4=$P13,
               $U13/12,
               1
      ))),0)
))))</f>
        <v>-</v>
      </c>
      <c r="AV13" s="56" t="str">
        <f ca="1">IF($H13=リスト!$AA$4,"-",
   IF($C13="-","-",
     IF(AV$4&gt;$P13,"-",
       IF(AV$4=1,$E13,OFFSET(AV13,0,-2)-OFFSET(AV13,0,-1)
))))</f>
        <v>-</v>
      </c>
      <c r="AW13" s="57" t="str">
        <f>IF($H13=リスト!$AA$4,"-",
 IF($C13="-","-",
  IF(AV$4&gt;$P13,"-",
   CHOOSE(MATCH($H$3,リスト!$AE$3:$AE$5,0),
    ROUNDUP(
      AV13*IF(AV13*$I13&lt;=$L13,$J13,$I13)*
      IF($P13=1,
         $S13/12,
         IF(AV$4=1,
            $T13/12,
            IF(AV$4=$P13,
               $U13/12,
               1
      ))),0),
    ROUNDDOWN(
      AV13*IF(AV13*$I13&lt;=$L13,$J13,$I13)*
      IF($P13=1,
         $S13/12,
         IF(AV$4=1,
            $T13/12,
            IF(AV$4=$P13,
               $U13/12,
               1
      ))),0),
    ROUND(
      AV13*IF(AV13*$I13&lt;=$L13,$J13,$I13)*
      IF($P13=1,
         $S13/12,
         IF(AV$4=1,
            $T13/12,
            IF(AV$4=$P13,
               $U13/12,
               1
      ))),0)
))))</f>
        <v>-</v>
      </c>
      <c r="AX13" s="56" t="str">
        <f ca="1">IF($H13=リスト!$AA$4,"-",
   IF($C13="-","-",
     IF(AX$4&gt;$P13,"-",
       IF(AX$4=1,$E13,OFFSET(AX13,0,-2)-OFFSET(AX13,0,-1)
))))</f>
        <v>-</v>
      </c>
      <c r="AY13" s="57" t="str">
        <f>IF($H13=リスト!$AA$4,"-",
 IF($C13="-","-",
  IF(AX$4&gt;$P13,"-",
   CHOOSE(MATCH($H$3,リスト!$AE$3:$AE$5,0),
    ROUNDUP(
      AX13*IF(AX13*$I13&lt;=$L13,$J13,$I13)*
      IF($P13=1,
         $S13/12,
         IF(AX$4=1,
            $T13/12,
            IF(AX$4=$P13,
               $U13/12,
               1
      ))),0),
    ROUNDDOWN(
      AX13*IF(AX13*$I13&lt;=$L13,$J13,$I13)*
      IF($P13=1,
         $S13/12,
         IF(AX$4=1,
            $T13/12,
            IF(AX$4=$P13,
               $U13/12,
               1
      ))),0),
    ROUND(
      AX13*IF(AX13*$I13&lt;=$L13,$J13,$I13)*
      IF($P13=1,
         $S13/12,
         IF(AX$4=1,
            $T13/12,
            IF(AX$4=$P13,
               $U13/12,
               1
      ))),0)
))))</f>
        <v>-</v>
      </c>
      <c r="AZ13" s="56" t="str">
        <f ca="1">IF($H13=リスト!$AA$4,"-",
   IF($C13="-","-",
     IF(AZ$4&gt;$P13,"-",
       IF(AZ$4=1,$E13,OFFSET(AZ13,0,-2)-OFFSET(AZ13,0,-1)
))))</f>
        <v>-</v>
      </c>
      <c r="BA13" s="57" t="str">
        <f>IF($H13=リスト!$AA$4,"-",
 IF($C13="-","-",
  IF(AZ$4&gt;$P13,"-",
   CHOOSE(MATCH($H$3,リスト!$AE$3:$AE$5,0),
    ROUNDUP(
      AZ13*IF(AZ13*$I13&lt;=$L13,$J13,$I13)*
      IF($P13=1,
         $S13/12,
         IF(AZ$4=1,
            $T13/12,
            IF(AZ$4=$P13,
               $U13/12,
               1
      ))),0),
    ROUNDDOWN(
      AZ13*IF(AZ13*$I13&lt;=$L13,$J13,$I13)*
      IF($P13=1,
         $S13/12,
         IF(AZ$4=1,
            $T13/12,
            IF(AZ$4=$P13,
               $U13/12,
               1
      ))),0),
    ROUND(
      AZ13*IF(AZ13*$I13&lt;=$L13,$J13,$I13)*
      IF($P13=1,
         $S13/12,
         IF(AZ$4=1,
            $T13/12,
            IF(AZ$4=$P13,
               $U13/12,
               1
      ))),0)
))))</f>
        <v>-</v>
      </c>
      <c r="BB13" s="56" t="str">
        <f ca="1">IF($H13=リスト!$AA$4,"-",
   IF($C13="-","-",
     IF(BB$4&gt;$P13,"-",
       IF(BB$4=1,$E13,OFFSET(BB13,0,-2)-OFFSET(BB13,0,-1)
))))</f>
        <v>-</v>
      </c>
      <c r="BC13" s="57" t="str">
        <f>IF($H13=リスト!$AA$4,"-",
 IF($C13="-","-",
  IF(BB$4&gt;$P13,"-",
   CHOOSE(MATCH($H$3,リスト!$AE$3:$AE$5,0),
    ROUNDUP(
      BB13*IF(BB13*$I13&lt;=$L13,$J13,$I13)*
      IF($P13=1,
         $S13/12,
         IF(BB$4=1,
            $T13/12,
            IF(BB$4=$P13,
               $U13/12,
               1
      ))),0),
    ROUNDDOWN(
      BB13*IF(BB13*$I13&lt;=$L13,$J13,$I13)*
      IF($P13=1,
         $S13/12,
         IF(BB$4=1,
            $T13/12,
            IF(BB$4=$P13,
               $U13/12,
               1
      ))),0),
    ROUND(
      BB13*IF(BB13*$I13&lt;=$L13,$J13,$I13)*
      IF($P13=1,
         $S13/12,
         IF(BB$4=1,
            $T13/12,
            IF(BB$4=$P13,
               $U13/12,
               1
      ))),0)
))))</f>
        <v>-</v>
      </c>
      <c r="BD13" s="56" t="str">
        <f ca="1">IF($H13=リスト!$AA$4,"-",
   IF($C13="-","-",
     IF(BD$4&gt;$P13,"-",
       IF(BD$4=1,$E13,OFFSET(BD13,0,-2)-OFFSET(BD13,0,-1)
))))</f>
        <v>-</v>
      </c>
      <c r="BE13" s="57" t="str">
        <f>IF($H13=リスト!$AA$4,"-",
 IF($C13="-","-",
  IF(BD$4&gt;$P13,"-",
   CHOOSE(MATCH($H$3,リスト!$AE$3:$AE$5,0),
    ROUNDUP(
      BD13*IF(BD13*$I13&lt;=$L13,$J13,$I13)*
      IF($P13=1,
         $S13/12,
         IF(BD$4=1,
            $T13/12,
            IF(BD$4=$P13,
               $U13/12,
               1
      ))),0),
    ROUNDDOWN(
      BD13*IF(BD13*$I13&lt;=$L13,$J13,$I13)*
      IF($P13=1,
         $S13/12,
         IF(BD$4=1,
            $T13/12,
            IF(BD$4=$P13,
               $U13/12,
               1
      ))),0),
    ROUND(
      BD13*IF(BD13*$I13&lt;=$L13,$J13,$I13)*
      IF($P13=1,
         $S13/12,
         IF(BD$4=1,
            $T13/12,
            IF(BD$4=$P13,
               $U13/12,
               1
      ))),0)
))))</f>
        <v>-</v>
      </c>
      <c r="BF13" s="56" t="str">
        <f ca="1">IF($H13=リスト!$AA$4,"-",
   IF($C13="-","-",
     IF(BF$4&gt;$P13,"-",
       IF(BF$4=1,$E13,OFFSET(BF13,0,-2)-OFFSET(BF13,0,-1)
))))</f>
        <v>-</v>
      </c>
      <c r="BG13" s="57" t="str">
        <f>IF($H13=リスト!$AA$4,"-",
 IF($C13="-","-",
  IF(BF$4&gt;$P13,"-",
   CHOOSE(MATCH($H$3,リスト!$AE$3:$AE$5,0),
    ROUNDUP(
      BF13*IF(BF13*$I13&lt;=$L13,$J13,$I13)*
      IF($P13=1,
         $S13/12,
         IF(BF$4=1,
            $T13/12,
            IF(BF$4=$P13,
               $U13/12,
               1
      ))),0),
    ROUNDDOWN(
      BF13*IF(BF13*$I13&lt;=$L13,$J13,$I13)*
      IF($P13=1,
         $S13/12,
         IF(BF$4=1,
            $T13/12,
            IF(BF$4=$P13,
               $U13/12,
               1
      ))),0),
    ROUND(
      BF13*IF(BF13*$I13&lt;=$L13,$J13,$I13)*
      IF($P13=1,
         $S13/12,
         IF(BF$4=1,
            $T13/12,
            IF(BF$4=$P13,
               $U13/12,
               1
      ))),0)
))))</f>
        <v>-</v>
      </c>
      <c r="BH13" s="56" t="str">
        <f ca="1">IF($H13=リスト!$AA$4,"-",
   IF($C13="-","-",
     IF(BH$4&gt;$P13,"-",
       IF(BH$4=1,$E13,OFFSET(BH13,0,-2)-OFFSET(BH13,0,-1)
))))</f>
        <v>-</v>
      </c>
      <c r="BI13" s="57" t="str">
        <f>IF($H13=リスト!$AA$4,"-",
 IF($C13="-","-",
  IF(BH$4&gt;$P13,"-",
   CHOOSE(MATCH($H$3,リスト!$AE$3:$AE$5,0),
    ROUNDUP(
      BH13*IF(BH13*$I13&lt;=$L13,$J13,$I13)*
      IF($P13=1,
         $S13/12,
         IF(BH$4=1,
            $T13/12,
            IF(BH$4=$P13,
               $U13/12,
               1
      ))),0),
    ROUNDDOWN(
      BH13*IF(BH13*$I13&lt;=$L13,$J13,$I13)*
      IF($P13=1,
         $S13/12,
         IF(BH$4=1,
            $T13/12,
            IF(BH$4=$P13,
               $U13/12,
               1
      ))),0),
    ROUND(
      BH13*IF(BH13*$I13&lt;=$L13,$J13,$I13)*
      IF($P13=1,
         $S13/12,
         IF(BH$4=1,
            $T13/12,
            IF(BH$4=$P13,
               $U13/12,
               1
      ))),0)
))))</f>
        <v>-</v>
      </c>
      <c r="BJ13" s="56" t="str">
        <f ca="1">IF($H13=リスト!$AA$4,"-",
   IF($C13="-","-",
     IF(BJ$4&gt;$P13,"-",
       IF(BJ$4=1,$E13,OFFSET(BJ13,0,-2)-OFFSET(BJ13,0,-1)
))))</f>
        <v>-</v>
      </c>
      <c r="BK13" s="57" t="str">
        <f>IF($H13=リスト!$AA$4,"-",
 IF($C13="-","-",
  IF(BJ$4&gt;$P13,"-",
   CHOOSE(MATCH($H$3,リスト!$AE$3:$AE$5,0),
    ROUNDUP(
      BJ13*IF(BJ13*$I13&lt;=$L13,$J13,$I13)*
      IF($P13=1,
         $S13/12,
         IF(BJ$4=1,
            $T13/12,
            IF(BJ$4=$P13,
               $U13/12,
               1
      ))),0),
    ROUNDDOWN(
      BJ13*IF(BJ13*$I13&lt;=$L13,$J13,$I13)*
      IF($P13=1,
         $S13/12,
         IF(BJ$4=1,
            $T13/12,
            IF(BJ$4=$P13,
               $U13/12,
               1
      ))),0),
    ROUND(
      BJ13*IF(BJ13*$I13&lt;=$L13,$J13,$I13)*
      IF($P13=1,
         $S13/12,
         IF(BJ$4=1,
            $T13/12,
            IF(BJ$4=$P13,
               $U13/12,
               1
      ))),0)
))))</f>
        <v>-</v>
      </c>
      <c r="BL13" s="56" t="str">
        <f ca="1">IF($H13=リスト!$AA$4,"-",
   IF($C13="-","-",
     IF(BL$4&gt;$P13,"-",
       IF(BL$4=1,$E13,OFFSET(BL13,0,-2)-OFFSET(BL13,0,-1)
))))</f>
        <v>-</v>
      </c>
      <c r="BM13" s="57" t="str">
        <f>IF($H13=リスト!$AA$4,"-",
 IF($C13="-","-",
  IF(BL$4&gt;$P13,"-",
   CHOOSE(MATCH($H$3,リスト!$AE$3:$AE$5,0),
    ROUNDUP(
      BL13*IF(BL13*$I13&lt;=$L13,$J13,$I13)*
      IF($P13=1,
         $S13/12,
         IF(BL$4=1,
            $T13/12,
            IF(BL$4=$P13,
               $U13/12,
               1
      ))),0),
    ROUNDDOWN(
      BL13*IF(BL13*$I13&lt;=$L13,$J13,$I13)*
      IF($P13=1,
         $S13/12,
         IF(BL$4=1,
            $T13/12,
            IF(BL$4=$P13,
               $U13/12,
               1
      ))),0),
    ROUND(
      BL13*IF(BL13*$I13&lt;=$L13,$J13,$I13)*
      IF($P13=1,
         $S13/12,
         IF(BL$4=1,
            $T13/12,
            IF(BL$4=$P13,
               $U13/12,
               1
      ))),0)
))))</f>
        <v>-</v>
      </c>
      <c r="BN13" s="56" t="str">
        <f ca="1">IF($H13=リスト!$AA$4,"-",
   IF($C13="-","-",
     IF(BN$4&gt;$P13,"-",
       IF(BN$4=1,$E13,OFFSET(BN13,0,-2)-OFFSET(BN13,0,-1)
))))</f>
        <v>-</v>
      </c>
      <c r="BO13" s="57" t="str">
        <f>IF($H13=リスト!$AA$4,"-",
 IF($C13="-","-",
  IF(BN$4&gt;$P13,"-",
   CHOOSE(MATCH($H$3,リスト!$AE$3:$AE$5,0),
    ROUNDUP(
      BN13*IF(BN13*$I13&lt;=$L13,$J13,$I13)*
      IF($P13=1,
         $S13/12,
         IF(BN$4=1,
            $T13/12,
            IF(BN$4=$P13,
               $U13/12,
               1
      ))),0),
    ROUNDDOWN(
      BN13*IF(BN13*$I13&lt;=$L13,$J13,$I13)*
      IF($P13=1,
         $S13/12,
         IF(BN$4=1,
            $T13/12,
            IF(BN$4=$P13,
               $U13/12,
               1
      ))),0),
    ROUND(
      BN13*IF(BN13*$I13&lt;=$L13,$J13,$I13)*
      IF($P13=1,
         $S13/12,
         IF(BN$4=1,
            $T13/12,
            IF(BN$4=$P13,
               $U13/12,
               1
      ))),0)
))))</f>
        <v>-</v>
      </c>
      <c r="BP13" s="56" t="str">
        <f ca="1">IF($H13=リスト!$AA$4,"-",
   IF($C13="-","-",
     IF(BP$4&gt;$P13,"-",
       IF(BP$4=1,$E13,OFFSET(BP13,0,-2)-OFFSET(BP13,0,-1)
))))</f>
        <v>-</v>
      </c>
      <c r="BQ13" s="57" t="str">
        <f>IF($H13=リスト!$AA$4,"-",
 IF($C13="-","-",
  IF(BP$4&gt;$P13,"-",
   CHOOSE(MATCH($H$3,リスト!$AE$3:$AE$5,0),
    ROUNDUP(
      BP13*IF(BP13*$I13&lt;=$L13,$J13,$I13)*
      IF($P13=1,
         $S13/12,
         IF(BP$4=1,
            $T13/12,
            IF(BP$4=$P13,
               $U13/12,
               1
      ))),0),
    ROUNDDOWN(
      BP13*IF(BP13*$I13&lt;=$L13,$J13,$I13)*
      IF($P13=1,
         $S13/12,
         IF(BP$4=1,
            $T13/12,
            IF(BP$4=$P13,
               $U13/12,
               1
      ))),0),
    ROUND(
      BP13*IF(BP13*$I13&lt;=$L13,$J13,$I13)*
      IF($P13=1,
         $S13/12,
         IF(BP$4=1,
            $T13/12,
            IF(BP$4=$P13,
               $U13/12,
               1
      ))),0)
))))</f>
        <v>-</v>
      </c>
      <c r="BR13" s="56" t="str">
        <f ca="1">IF($H13=リスト!$AA$4,"-",
   IF($C13="-","-",
     IF(BR$4&gt;$P13,"-",
       IF(BR$4=1,$E13,OFFSET(BR13,0,-2)-OFFSET(BR13,0,-1)
))))</f>
        <v>-</v>
      </c>
      <c r="BS13" s="57" t="str">
        <f>IF($H13=リスト!$AA$4,"-",
 IF($C13="-","-",
  IF(BR$4&gt;$P13,"-",
   CHOOSE(MATCH($H$3,リスト!$AE$3:$AE$5,0),
    ROUNDUP(
      BR13*IF(BR13*$I13&lt;=$L13,$J13,$I13)*
      IF($P13=1,
         $S13/12,
         IF(BR$4=1,
            $T13/12,
            IF(BR$4=$P13,
               $U13/12,
               1
      ))),0),
    ROUNDDOWN(
      BR13*IF(BR13*$I13&lt;=$L13,$J13,$I13)*
      IF($P13=1,
         $S13/12,
         IF(BR$4=1,
            $T13/12,
            IF(BR$4=$P13,
               $U13/12,
               1
      ))),0),
    ROUND(
      BR13*IF(BR13*$I13&lt;=$L13,$J13,$I13)*
      IF($P13=1,
         $S13/12,
         IF(BR$4=1,
            $T13/12,
            IF(BR$4=$P13,
               $U13/12,
               1
      ))),0)
))))</f>
        <v>-</v>
      </c>
      <c r="BT13" s="56" t="str">
        <f ca="1">IF($H13=リスト!$AA$4,"-",
   IF($C13="-","-",
     IF(BT$4&gt;$P13,"-",
       IF(BT$4=1,$E13,OFFSET(BT13,0,-2)-OFFSET(BT13,0,-1)
))))</f>
        <v>-</v>
      </c>
      <c r="BU13" s="57" t="str">
        <f>IF($H13=リスト!$AA$4,"-",
 IF($C13="-","-",
  IF(BT$4&gt;$P13,"-",
   CHOOSE(MATCH($H$3,リスト!$AE$3:$AE$5,0),
    ROUNDUP(
      BT13*IF(BT13*$I13&lt;=$L13,$J13,$I13)*
      IF($P13=1,
         $S13/12,
         IF(BT$4=1,
            $T13/12,
            IF(BT$4=$P13,
               $U13/12,
               1
      ))),0),
    ROUNDDOWN(
      BT13*IF(BT13*$I13&lt;=$L13,$J13,$I13)*
      IF($P13=1,
         $S13/12,
         IF(BT$4=1,
            $T13/12,
            IF(BT$4=$P13,
               $U13/12,
               1
      ))),0),
    ROUND(
      BT13*IF(BT13*$I13&lt;=$L13,$J13,$I13)*
      IF($P13=1,
         $S13/12,
         IF(BT$4=1,
            $T13/12,
            IF(BT$4=$P13,
               $U13/12,
               1
      ))),0)
))))</f>
        <v>-</v>
      </c>
      <c r="BV13" s="56" t="str">
        <f ca="1">IF($H13=リスト!$AA$4,"-",
   IF($C13="-","-",
     IF(BV$4&gt;$P13,"-",
       IF(BV$4=1,$E13,OFFSET(BV13,0,-2)-OFFSET(BV13,0,-1)
))))</f>
        <v>-</v>
      </c>
      <c r="BW13" s="57" t="str">
        <f>IF($H13=リスト!$AA$4,"-",
 IF($C13="-","-",
  IF(BV$4&gt;$P13,"-",
   CHOOSE(MATCH($H$3,リスト!$AE$3:$AE$5,0),
    ROUNDUP(
      BV13*IF(BV13*$I13&lt;=$L13,$J13,$I13)*
      IF($P13=1,
         $S13/12,
         IF(BV$4=1,
            $T13/12,
            IF(BV$4=$P13,
               $U13/12,
               1
      ))),0),
    ROUNDDOWN(
      BV13*IF(BV13*$I13&lt;=$L13,$J13,$I13)*
      IF($P13=1,
         $S13/12,
         IF(BV$4=1,
            $T13/12,
            IF(BV$4=$P13,
               $U13/12,
               1
      ))),0),
    ROUND(
      BV13*IF(BV13*$I13&lt;=$L13,$J13,$I13)*
      IF($P13=1,
         $S13/12,
         IF(BV$4=1,
            $T13/12,
            IF(BV$4=$P13,
               $U13/12,
               1
      ))),0)
))))</f>
        <v>-</v>
      </c>
      <c r="BX13" s="56" t="str">
        <f ca="1">IF($H13=リスト!$AA$4,"-",
   IF($C13="-","-",
     IF(BX$4&gt;$P13,"-",
       IF(BX$4=1,$E13,OFFSET(BX13,0,-2)-OFFSET(BX13,0,-1)
))))</f>
        <v>-</v>
      </c>
      <c r="BY13" s="57" t="str">
        <f>IF($H13=リスト!$AA$4,"-",
 IF($C13="-","-",
  IF(BX$4&gt;$P13,"-",
   CHOOSE(MATCH($H$3,リスト!$AE$3:$AE$5,0),
    ROUNDUP(
      BX13*IF(BX13*$I13&lt;=$L13,$J13,$I13)*
      IF($P13=1,
         $S13/12,
         IF(BX$4=1,
            $T13/12,
            IF(BX$4=$P13,
               $U13/12,
               1
      ))),0),
    ROUNDDOWN(
      BX13*IF(BX13*$I13&lt;=$L13,$J13,$I13)*
      IF($P13=1,
         $S13/12,
         IF(BX$4=1,
            $T13/12,
            IF(BX$4=$P13,
               $U13/12,
               1
      ))),0),
    ROUND(
      BX13*IF(BX13*$I13&lt;=$L13,$J13,$I13)*
      IF($P13=1,
         $S13/12,
         IF(BX$4=1,
            $T13/12,
            IF(BX$4=$P13,
               $U13/12,
               1
      ))),0)
))))</f>
        <v>-</v>
      </c>
      <c r="BZ13" s="56" t="str">
        <f ca="1">IF($H13=リスト!$AA$4,"-",
   IF($C13="-","-",
     IF(BZ$4&gt;$P13,"-",
       IF(BZ$4=1,$E13,OFFSET(BZ13,0,-2)-OFFSET(BZ13,0,-1)
))))</f>
        <v>-</v>
      </c>
      <c r="CA13" s="57" t="str">
        <f>IF($H13=リスト!$AA$4,"-",
 IF($C13="-","-",
  IF(BZ$4&gt;$P13,"-",
   CHOOSE(MATCH($H$3,リスト!$AE$3:$AE$5,0),
    ROUNDUP(
      BZ13*IF(BZ13*$I13&lt;=$L13,$J13,$I13)*
      IF($P13=1,
         $S13/12,
         IF(BZ$4=1,
            $T13/12,
            IF(BZ$4=$P13,
               $U13/12,
               1
      ))),0),
    ROUNDDOWN(
      BZ13*IF(BZ13*$I13&lt;=$L13,$J13,$I13)*
      IF($P13=1,
         $S13/12,
         IF(BZ$4=1,
            $T13/12,
            IF(BZ$4=$P13,
               $U13/12,
               1
      ))),0),
    ROUND(
      BZ13*IF(BZ13*$I13&lt;=$L13,$J13,$I13)*
      IF($P13=1,
         $S13/12,
         IF(BZ$4=1,
            $T13/12,
            IF(BZ$4=$P13,
               $U13/12,
               1
      ))),0)
))))</f>
        <v>-</v>
      </c>
      <c r="CB13" s="56" t="str">
        <f ca="1">IF($H13=リスト!$AA$4,"-",
   IF($C13="-","-",
     IF(CB$4&gt;$P13,"-",
       IF(CB$4=1,$E13,OFFSET(CB13,0,-2)-OFFSET(CB13,0,-1)
))))</f>
        <v>-</v>
      </c>
      <c r="CC13" s="57" t="str">
        <f>IF($H13=リスト!$AA$4,"-",
 IF($C13="-","-",
  IF(CB$4&gt;$P13,"-",
   CHOOSE(MATCH($H$3,リスト!$AE$3:$AE$5,0),
    ROUNDUP(
      CB13*IF(CB13*$I13&lt;=$L13,$J13,$I13)*
      IF($P13=1,
         $S13/12,
         IF(CB$4=1,
            $T13/12,
            IF(CB$4=$P13,
               $U13/12,
               1
      ))),0),
    ROUNDDOWN(
      CB13*IF(CB13*$I13&lt;=$L13,$J13,$I13)*
      IF($P13=1,
         $S13/12,
         IF(CB$4=1,
            $T13/12,
            IF(CB$4=$P13,
               $U13/12,
               1
      ))),0),
    ROUND(
      CB13*IF(CB13*$I13&lt;=$L13,$J13,$I13)*
      IF($P13=1,
         $S13/12,
         IF(CB$4=1,
            $T13/12,
            IF(CB$4=$P13,
               $U13/12,
               1
      ))),0)
))))</f>
        <v>-</v>
      </c>
      <c r="CD13" s="56" t="str">
        <f ca="1">IF($H13=リスト!$AA$4,"-",
   IF($C13="-","-",
     IF(CD$4&gt;$P13,"-",
       IF(CD$4=1,$E13,OFFSET(CD13,0,-2)-OFFSET(CD13,0,-1)
))))</f>
        <v>-</v>
      </c>
      <c r="CE13" s="57" t="str">
        <f>IF($H13=リスト!$AA$4,"-",
 IF($C13="-","-",
  IF(CD$4&gt;$P13,"-",
   CHOOSE(MATCH($H$3,リスト!$AE$3:$AE$5,0),
    ROUNDUP(
      CD13*IF(CD13*$I13&lt;=$L13,$J13,$I13)*
      IF($P13=1,
         $S13/12,
         IF(CD$4=1,
            $T13/12,
            IF(CD$4=$P13,
               $U13/12,
               1
      ))),0),
    ROUNDDOWN(
      CD13*IF(CD13*$I13&lt;=$L13,$J13,$I13)*
      IF($P13=1,
         $S13/12,
         IF(CD$4=1,
            $T13/12,
            IF(CD$4=$P13,
               $U13/12,
               1
      ))),0),
    ROUND(
      CD13*IF(CD13*$I13&lt;=$L13,$J13,$I13)*
      IF($P13=1,
         $S13/12,
         IF(CD$4=1,
            $T13/12,
            IF(CD$4=$P13,
               $U13/12,
               1
      ))),0)
))))</f>
        <v>-</v>
      </c>
      <c r="CF13" s="56" t="str">
        <f ca="1">IF($H13=リスト!$AA$4,"-",
   IF($C13="-","-",
     IF(CF$4&gt;$P13,"-",
       IF(CF$4=1,$E13,OFFSET(CF13,0,-2)-OFFSET(CF13,0,-1)
))))</f>
        <v>-</v>
      </c>
      <c r="CG13" s="57" t="str">
        <f>IF($H13=リスト!$AA$4,"-",
 IF($C13="-","-",
  IF(CF$4&gt;$P13,"-",
   CHOOSE(MATCH($H$3,リスト!$AE$3:$AE$5,0),
    ROUNDUP(
      CF13*IF(CF13*$I13&lt;=$L13,$J13,$I13)*
      IF($P13=1,
         $S13/12,
         IF(CF$4=1,
            $T13/12,
            IF(CF$4=$P13,
               $U13/12,
               1
      ))),0),
    ROUNDDOWN(
      CF13*IF(CF13*$I13&lt;=$L13,$J13,$I13)*
      IF($P13=1,
         $S13/12,
         IF(CF$4=1,
            $T13/12,
            IF(CF$4=$P13,
               $U13/12,
               1
      ))),0),
    ROUND(
      CF13*IF(CF13*$I13&lt;=$L13,$J13,$I13)*
      IF($P13=1,
         $S13/12,
         IF(CF$4=1,
            $T13/12,
            IF(CF$4=$P13,
               $U13/12,
               1
      ))),0)
))))</f>
        <v>-</v>
      </c>
      <c r="CH13" s="56" t="str">
        <f ca="1">IF($H13=リスト!$AA$4,"-",
   IF($C13="-","-",
     IF(CH$4&gt;$P13,"-",
       IF(CH$4=1,$E13,OFFSET(CH13,0,-2)-OFFSET(CH13,0,-1)
))))</f>
        <v>-</v>
      </c>
      <c r="CI13" s="57" t="str">
        <f>IF($H13=リスト!$AA$4,"-",
 IF($C13="-","-",
  IF(CH$4&gt;$P13,"-",
   CHOOSE(MATCH($H$3,リスト!$AE$3:$AE$5,0),
    ROUNDUP(
      CH13*IF(CH13*$I13&lt;=$L13,$J13,$I13)*
      IF($P13=1,
         $S13/12,
         IF(CH$4=1,
            $T13/12,
            IF(CH$4=$P13,
               $U13/12,
               1
      ))),0),
    ROUNDDOWN(
      CH13*IF(CH13*$I13&lt;=$L13,$J13,$I13)*
      IF($P13=1,
         $S13/12,
         IF(CH$4=1,
            $T13/12,
            IF(CH$4=$P13,
               $U13/12,
               1
      ))),0),
    ROUND(
      CH13*IF(CH13*$I13&lt;=$L13,$J13,$I13)*
      IF($P13=1,
         $S13/12,
         IF(CH$4=1,
            $T13/12,
            IF(CH$4=$P13,
               $U13/12,
               1
      ))),0)
))))</f>
        <v>-</v>
      </c>
      <c r="CJ13" s="56" t="str">
        <f ca="1">IF($H13=リスト!$AA$4,"-",
   IF($C13="-","-",
     IF(CJ$4&gt;$P13,"-",
       IF(CJ$4=1,$E13,OFFSET(CJ13,0,-2)-OFFSET(CJ13,0,-1)
))))</f>
        <v>-</v>
      </c>
      <c r="CK13" s="57" t="str">
        <f>IF($H13=リスト!$AA$4,"-",
 IF($C13="-","-",
  IF(CJ$4&gt;$P13,"-",
   CHOOSE(MATCH($H$3,リスト!$AE$3:$AE$5,0),
    ROUNDUP(
      CJ13*IF(CJ13*$I13&lt;=$L13,$J13,$I13)*
      IF($P13=1,
         $S13/12,
         IF(CJ$4=1,
            $T13/12,
            IF(CJ$4=$P13,
               $U13/12,
               1
      ))),0),
    ROUNDDOWN(
      CJ13*IF(CJ13*$I13&lt;=$L13,$J13,$I13)*
      IF($P13=1,
         $S13/12,
         IF(CJ$4=1,
            $T13/12,
            IF(CJ$4=$P13,
               $U13/12,
               1
      ))),0),
    ROUND(
      CJ13*IF(CJ13*$I13&lt;=$L13,$J13,$I13)*
      IF($P13=1,
         $S13/12,
         IF(CJ$4=1,
            $T13/12,
            IF(CJ$4=$P13,
               $U13/12,
               1
      ))),0)
))))</f>
        <v>-</v>
      </c>
      <c r="CL13" s="56" t="str">
        <f ca="1">IF($H13=リスト!$AA$4,"-",
   IF($C13="-","-",
     IF(CL$4&gt;$P13,"-",
       IF(CL$4=1,$E13,OFFSET(CL13,0,-2)-OFFSET(CL13,0,-1)
))))</f>
        <v>-</v>
      </c>
      <c r="CM13" s="57" t="str">
        <f>IF($H13=リスト!$AA$4,"-",
 IF($C13="-","-",
  IF(CL$4&gt;$P13,"-",
   CHOOSE(MATCH($H$3,リスト!$AE$3:$AE$5,0),
    ROUNDUP(
      CL13*IF(CL13*$I13&lt;=$L13,$J13,$I13)*
      IF($P13=1,
         $S13/12,
         IF(CL$4=1,
            $T13/12,
            IF(CL$4=$P13,
               $U13/12,
               1
      ))),0),
    ROUNDDOWN(
      CL13*IF(CL13*$I13&lt;=$L13,$J13,$I13)*
      IF($P13=1,
         $S13/12,
         IF(CL$4=1,
            $T13/12,
            IF(CL$4=$P13,
               $U13/12,
               1
      ))),0),
    ROUND(
      CL13*IF(CL13*$I13&lt;=$L13,$J13,$I13)*
      IF($P13=1,
         $S13/12,
         IF(CL$4=1,
            $T13/12,
            IF(CL$4=$P13,
               $U13/12,
               1
      ))),0)
))))</f>
        <v>-</v>
      </c>
      <c r="CN13" s="56" t="str">
        <f ca="1">IF($H13=リスト!$AA$4,"-",
   IF($C13="-","-",
     IF(CN$4&gt;$P13,"-",
       IF(CN$4=1,$E13,OFFSET(CN13,0,-2)-OFFSET(CN13,0,-1)
))))</f>
        <v>-</v>
      </c>
      <c r="CO13" s="57" t="str">
        <f>IF($H13=リスト!$AA$4,"-",
 IF($C13="-","-",
  IF(CN$4&gt;$P13,"-",
   CHOOSE(MATCH($H$3,リスト!$AE$3:$AE$5,0),
    ROUNDUP(
      CN13*IF(CN13*$I13&lt;=$L13,$J13,$I13)*
      IF($P13=1,
         $S13/12,
         IF(CN$4=1,
            $T13/12,
            IF(CN$4=$P13,
               $U13/12,
               1
      ))),0),
    ROUNDDOWN(
      CN13*IF(CN13*$I13&lt;=$L13,$J13,$I13)*
      IF($P13=1,
         $S13/12,
         IF(CN$4=1,
            $T13/12,
            IF(CN$4=$P13,
               $U13/12,
               1
      ))),0),
    ROUND(
      CN13*IF(CN13*$I13&lt;=$L13,$J13,$I13)*
      IF($P13=1,
         $S13/12,
         IF(CN$4=1,
            $T13/12,
            IF(CN$4=$P13,
               $U13/12,
               1
      ))),0)
))))</f>
        <v>-</v>
      </c>
      <c r="CP13" s="56" t="str">
        <f ca="1">IF($H13=リスト!$AA$4,"-",
   IF($C13="-","-",
     IF(CP$4&gt;$P13,"-",
       IF(CP$4=1,$E13,OFFSET(CP13,0,-2)-OFFSET(CP13,0,-1)
))))</f>
        <v>-</v>
      </c>
      <c r="CQ13" s="57" t="str">
        <f>IF($H13=リスト!$AA$4,"-",
 IF($C13="-","-",
  IF(CP$4&gt;$P13,"-",
   CHOOSE(MATCH($H$3,リスト!$AE$3:$AE$5,0),
    ROUNDUP(
      CP13*IF(CP13*$I13&lt;=$L13,$J13,$I13)*
      IF($P13=1,
         $S13/12,
         IF(CP$4=1,
            $T13/12,
            IF(CP$4=$P13,
               $U13/12,
               1
      ))),0),
    ROUNDDOWN(
      CP13*IF(CP13*$I13&lt;=$L13,$J13,$I13)*
      IF($P13=1,
         $S13/12,
         IF(CP$4=1,
            $T13/12,
            IF(CP$4=$P13,
               $U13/12,
               1
      ))),0),
    ROUND(
      CP13*IF(CP13*$I13&lt;=$L13,$J13,$I13)*
      IF($P13=1,
         $S13/12,
         IF(CP$4=1,
            $T13/12,
            IF(CP$4=$P13,
               $U13/12,
               1
      ))),0)
))))</f>
        <v>-</v>
      </c>
      <c r="CR13" s="56" t="str">
        <f ca="1">IF($H13=リスト!$AA$4,"-",
   IF($C13="-","-",
     IF(CR$4&gt;$P13,"-",
       IF(CR$4=1,$E13,OFFSET(CR13,0,-2)-OFFSET(CR13,0,-1)
))))</f>
        <v>-</v>
      </c>
      <c r="CS13" s="57" t="str">
        <f>IF($H13=リスト!$AA$4,"-",
 IF($C13="-","-",
  IF(CR$4&gt;$P13,"-",
   CHOOSE(MATCH($H$3,リスト!$AE$3:$AE$5,0),
    ROUNDUP(
      CR13*IF(CR13*$I13&lt;=$L13,$J13,$I13)*
      IF($P13=1,
         $S13/12,
         IF(CR$4=1,
            $T13/12,
            IF(CR$4=$P13,
               $U13/12,
               1
      ))),0),
    ROUNDDOWN(
      CR13*IF(CR13*$I13&lt;=$L13,$J13,$I13)*
      IF($P13=1,
         $S13/12,
         IF(CR$4=1,
            $T13/12,
            IF(CR$4=$P13,
               $U13/12,
               1
      ))),0),
    ROUND(
      CR13*IF(CR13*$I13&lt;=$L13,$J13,$I13)*
      IF($P13=1,
         $S13/12,
         IF(CR$4=1,
            $T13/12,
            IF(CR$4=$P13,
               $U13/12,
               1
      ))),0)
))))</f>
        <v>-</v>
      </c>
      <c r="CT13" s="56" t="str">
        <f ca="1">IF($H13=リスト!$AA$4,"-",
   IF($C13="-","-",
     IF(CT$4&gt;$P13,"-",
       IF(CT$4=1,$E13,OFFSET(CT13,0,-2)-OFFSET(CT13,0,-1)
))))</f>
        <v>-</v>
      </c>
      <c r="CU13" s="57" t="str">
        <f>IF($H13=リスト!$AA$4,"-",
 IF($C13="-","-",
  IF(CT$4&gt;$P13,"-",
   CHOOSE(MATCH($H$3,リスト!$AE$3:$AE$5,0),
    ROUNDUP(
      CT13*IF(CT13*$I13&lt;=$L13,$J13,$I13)*
      IF($P13=1,
         $S13/12,
         IF(CT$4=1,
            $T13/12,
            IF(CT$4=$P13,
               $U13/12,
               1
      ))),0),
    ROUNDDOWN(
      CT13*IF(CT13*$I13&lt;=$L13,$J13,$I13)*
      IF($P13=1,
         $S13/12,
         IF(CT$4=1,
            $T13/12,
            IF(CT$4=$P13,
               $U13/12,
               1
      ))),0),
    ROUND(
      CT13*IF(CT13*$I13&lt;=$L13,$J13,$I13)*
      IF($P13=1,
         $S13/12,
         IF(CT$4=1,
            $T13/12,
            IF(CT$4=$P13,
               $U13/12,
               1
      ))),0)
))))</f>
        <v>-</v>
      </c>
      <c r="CV13" s="56" t="str">
        <f ca="1">IF($H13=リスト!$AA$4,"-",
   IF($C13="-","-",
     IF(CV$4&gt;$P13,"-",
       IF(CV$4=1,$E13,OFFSET(CV13,0,-2)-OFFSET(CV13,0,-1)
))))</f>
        <v>-</v>
      </c>
      <c r="CW13" s="57" t="str">
        <f>IF($H13=リスト!$AA$4,"-",
 IF($C13="-","-",
  IF(CV$4&gt;$P13,"-",
   CHOOSE(MATCH($H$3,リスト!$AE$3:$AE$5,0),
    ROUNDUP(
      CV13*IF(CV13*$I13&lt;=$L13,$J13,$I13)*
      IF($P13=1,
         $S13/12,
         IF(CV$4=1,
            $T13/12,
            IF(CV$4=$P13,
               $U13/12,
               1
      ))),0),
    ROUNDDOWN(
      CV13*IF(CV13*$I13&lt;=$L13,$J13,$I13)*
      IF($P13=1,
         $S13/12,
         IF(CV$4=1,
            $T13/12,
            IF(CV$4=$P13,
               $U13/12,
               1
      ))),0),
    ROUND(
      CV13*IF(CV13*$I13&lt;=$L13,$J13,$I13)*
      IF($P13=1,
         $S13/12,
         IF(CV$4=1,
            $T13/12,
            IF(CV$4=$P13,
               $U13/12,
               1
      ))),0)
))))</f>
        <v>-</v>
      </c>
      <c r="CX13" s="56" t="str">
        <f ca="1">IF($H13=リスト!$AA$4,"-",
   IF($C13="-","-",
     IF(CX$4&gt;$P13,"-",
       IF(CX$4=1,$E13,OFFSET(CX13,0,-2)-OFFSET(CX13,0,-1)
))))</f>
        <v>-</v>
      </c>
      <c r="CY13" s="57" t="str">
        <f>IF($H13=リスト!$AA$4,"-",
 IF($C13="-","-",
  IF(CX$4&gt;$P13,"-",
   CHOOSE(MATCH($H$3,リスト!$AE$3:$AE$5,0),
    ROUNDUP(
      CX13*IF(CX13*$I13&lt;=$L13,$J13,$I13)*
      IF($P13=1,
         $S13/12,
         IF(CX$4=1,
            $T13/12,
            IF(CX$4=$P13,
               $U13/12,
               1
      ))),0),
    ROUNDDOWN(
      CX13*IF(CX13*$I13&lt;=$L13,$J13,$I13)*
      IF($P13=1,
         $S13/12,
         IF(CX$4=1,
            $T13/12,
            IF(CX$4=$P13,
               $U13/12,
               1
      ))),0),
    ROUND(
      CX13*IF(CX13*$I13&lt;=$L13,$J13,$I13)*
      IF($P13=1,
         $S13/12,
         IF(CX$4=1,
            $T13/12,
            IF(CX$4=$P13,
               $U13/12,
               1
      ))),0)
))))</f>
        <v>-</v>
      </c>
      <c r="CZ13" s="56" t="str">
        <f ca="1">IF($H13=リスト!$AA$4,"-",
   IF($C13="-","-",
     IF(CZ$4&gt;$P13,"-",
       IF(CZ$4=1,$E13,OFFSET(CZ13,0,-2)-OFFSET(CZ13,0,-1)
))))</f>
        <v>-</v>
      </c>
      <c r="DA13" s="57" t="str">
        <f>IF($H13=リスト!$AA$4,"-",
 IF($C13="-","-",
  IF(CZ$4&gt;$P13,"-",
   CHOOSE(MATCH($H$3,リスト!$AE$3:$AE$5,0),
    ROUNDUP(
      CZ13*IF(CZ13*$I13&lt;=$L13,$J13,$I13)*
      IF($P13=1,
         $S13/12,
         IF(CZ$4=1,
            $T13/12,
            IF(CZ$4=$P13,
               $U13/12,
               1
      ))),0),
    ROUNDDOWN(
      CZ13*IF(CZ13*$I13&lt;=$L13,$J13,$I13)*
      IF($P13=1,
         $S13/12,
         IF(CZ$4=1,
            $T13/12,
            IF(CZ$4=$P13,
               $U13/12,
               1
      ))),0),
    ROUND(
      CZ13*IF(CZ13*$I13&lt;=$L13,$J13,$I13)*
      IF($P13=1,
         $S13/12,
         IF(CZ$4=1,
            $T13/12,
            IF(CZ$4=$P13,
               $U13/12,
               1
      ))),0)
))))</f>
        <v>-</v>
      </c>
      <c r="DB13" s="56" t="str">
        <f ca="1">IF($H13=リスト!$AA$4,"-",
   IF($C13="-","-",
     IF(DB$4&gt;$P13,"-",
       IF(DB$4=1,$E13,OFFSET(DB13,0,-2)-OFFSET(DB13,0,-1)
))))</f>
        <v>-</v>
      </c>
      <c r="DC13" s="57" t="str">
        <f>IF($H13=リスト!$AA$4,"-",
 IF($C13="-","-",
  IF(DB$4&gt;$P13,"-",
   CHOOSE(MATCH($H$3,リスト!$AE$3:$AE$5,0),
    ROUNDUP(
      DB13*IF(DB13*$I13&lt;=$L13,$J13,$I13)*
      IF($P13=1,
         $S13/12,
         IF(DB$4=1,
            $T13/12,
            IF(DB$4=$P13,
               $U13/12,
               1
      ))),0),
    ROUNDDOWN(
      DB13*IF(DB13*$I13&lt;=$L13,$J13,$I13)*
      IF($P13=1,
         $S13/12,
         IF(DB$4=1,
            $T13/12,
            IF(DB$4=$P13,
               $U13/12,
               1
      ))),0),
    ROUND(
      DB13*IF(DB13*$I13&lt;=$L13,$J13,$I13)*
      IF($P13=1,
         $S13/12,
         IF(DB$4=1,
            $T13/12,
            IF(DB$4=$P13,
               $U13/12,
               1
      ))),0)
))))</f>
        <v>-</v>
      </c>
      <c r="DD13" s="56" t="str">
        <f ca="1">IF($H13=リスト!$AA$4,"-",
   IF($C13="-","-",
     IF(DD$4&gt;$P13,"-",
       IF(DD$4=1,$E13,OFFSET(DD13,0,-2)-OFFSET(DD13,0,-1)
))))</f>
        <v>-</v>
      </c>
      <c r="DE13" s="57" t="str">
        <f>IF($H13=リスト!$AA$4,"-",
 IF($C13="-","-",
  IF(DD$4&gt;$P13,"-",
   CHOOSE(MATCH($H$3,リスト!$AE$3:$AE$5,0),
    ROUNDUP(
      DD13*IF(DD13*$I13&lt;=$L13,$J13,$I13)*
      IF($P13=1,
         $S13/12,
         IF(DD$4=1,
            $T13/12,
            IF(DD$4=$P13,
               $U13/12,
               1
      ))),0),
    ROUNDDOWN(
      DD13*IF(DD13*$I13&lt;=$L13,$J13,$I13)*
      IF($P13=1,
         $S13/12,
         IF(DD$4=1,
            $T13/12,
            IF(DD$4=$P13,
               $U13/12,
               1
      ))),0),
    ROUND(
      DD13*IF(DD13*$I13&lt;=$L13,$J13,$I13)*
      IF($P13=1,
         $S13/12,
         IF(DD$4=1,
            $T13/12,
            IF(DD$4=$P13,
               $U13/12,
               1
      ))),0)
))))</f>
        <v>-</v>
      </c>
      <c r="DF13" s="56" t="str">
        <f ca="1">IF($H13=リスト!$AA$4,"-",
   IF($C13="-","-",
     IF(DF$4&gt;$P13,"-",
       IF(DF$4=1,$E13,OFFSET(DF13,0,-2)-OFFSET(DF13,0,-1)
))))</f>
        <v>-</v>
      </c>
      <c r="DG13" s="57" t="str">
        <f>IF($H13=リスト!$AA$4,"-",
 IF($C13="-","-",
  IF(DF$4&gt;$P13,"-",
   CHOOSE(MATCH($H$3,リスト!$AE$3:$AE$5,0),
    ROUNDUP(
      DF13*IF(DF13*$I13&lt;=$L13,$J13,$I13)*
      IF($P13=1,
         $S13/12,
         IF(DF$4=1,
            $T13/12,
            IF(DF$4=$P13,
               $U13/12,
               1
      ))),0),
    ROUNDDOWN(
      DF13*IF(DF13*$I13&lt;=$L13,$J13,$I13)*
      IF($P13=1,
         $S13/12,
         IF(DF$4=1,
            $T13/12,
            IF(DF$4=$P13,
               $U13/12,
               1
      ))),0),
    ROUND(
      DF13*IF(DF13*$I13&lt;=$L13,$J13,$I13)*
      IF($P13=1,
         $S13/12,
         IF(DF$4=1,
            $T13/12,
            IF(DF$4=$P13,
               $U13/12,
               1
      ))),0)
))))</f>
        <v>-</v>
      </c>
      <c r="DH13" s="56" t="str">
        <f ca="1">IF($H13=リスト!$AA$4,"-",
   IF($C13="-","-",
     IF(DH$4&gt;$P13,"-",
       IF(DH$4=1,$E13,OFFSET(DH13,0,-2)-OFFSET(DH13,0,-1)
))))</f>
        <v>-</v>
      </c>
      <c r="DI13" s="57" t="str">
        <f>IF($H13=リスト!$AA$4,"-",
 IF($C13="-","-",
  IF(DH$4&gt;$P13,"-",
   CHOOSE(MATCH($H$3,リスト!$AE$3:$AE$5,0),
    ROUNDUP(
      DH13*IF(DH13*$I13&lt;=$L13,$J13,$I13)*
      IF($P13=1,
         $S13/12,
         IF(DH$4=1,
            $T13/12,
            IF(DH$4=$P13,
               $U13/12,
               1
      ))),0),
    ROUNDDOWN(
      DH13*IF(DH13*$I13&lt;=$L13,$J13,$I13)*
      IF($P13=1,
         $S13/12,
         IF(DH$4=1,
            $T13/12,
            IF(DH$4=$P13,
               $U13/12,
               1
      ))),0),
    ROUND(
      DH13*IF(DH13*$I13&lt;=$L13,$J13,$I13)*
      IF($P13=1,
         $S13/12,
         IF(DH$4=1,
            $T13/12,
            IF(DH$4=$P13,
               $U13/12,
               1
      ))),0)
))))</f>
        <v>-</v>
      </c>
      <c r="DJ13" s="56" t="str">
        <f ca="1">IF($H13=リスト!$AA$4,"-",
   IF($C13="-","-",
     IF(DJ$4&gt;$P13,"-",
       IF(DJ$4=1,$E13,OFFSET(DJ13,0,-2)-OFFSET(DJ13,0,-1)
))))</f>
        <v>-</v>
      </c>
      <c r="DK13" s="57" t="str">
        <f>IF($H13=リスト!$AA$4,"-",
 IF($C13="-","-",
  IF(DJ$4&gt;$P13,"-",
   CHOOSE(MATCH($H$3,リスト!$AE$3:$AE$5,0),
    ROUNDUP(
      DJ13*IF(DJ13*$I13&lt;=$L13,$J13,$I13)*
      IF($P13=1,
         $S13/12,
         IF(DJ$4=1,
            $T13/12,
            IF(DJ$4=$P13,
               $U13/12,
               1
      ))),0),
    ROUNDDOWN(
      DJ13*IF(DJ13*$I13&lt;=$L13,$J13,$I13)*
      IF($P13=1,
         $S13/12,
         IF(DJ$4=1,
            $T13/12,
            IF(DJ$4=$P13,
               $U13/12,
               1
      ))),0),
    ROUND(
      DJ13*IF(DJ13*$I13&lt;=$L13,$J13,$I13)*
      IF($P13=1,
         $S13/12,
         IF(DJ$4=1,
            $T13/12,
            IF(DJ$4=$P13,
               $U13/12,
               1
      ))),0)
))))</f>
        <v>-</v>
      </c>
      <c r="DL13" s="56" t="str">
        <f ca="1">IF($H13=リスト!$AA$4,"-",
   IF($C13="-","-",
     IF(DL$4&gt;$P13,"-",
       IF(DL$4=1,$E13,OFFSET(DL13,0,-2)-OFFSET(DL13,0,-1)
))))</f>
        <v>-</v>
      </c>
      <c r="DM13" s="57" t="str">
        <f>IF($H13=リスト!$AA$4,"-",
 IF($C13="-","-",
  IF(DL$4&gt;$P13,"-",
   CHOOSE(MATCH($H$3,リスト!$AE$3:$AE$5,0),
    ROUNDUP(
      DL13*IF(DL13*$I13&lt;=$L13,$J13,$I13)*
      IF($P13=1,
         $S13/12,
         IF(DL$4=1,
            $T13/12,
            IF(DL$4=$P13,
               $U13/12,
               1
      ))),0),
    ROUNDDOWN(
      DL13*IF(DL13*$I13&lt;=$L13,$J13,$I13)*
      IF($P13=1,
         $S13/12,
         IF(DL$4=1,
            $T13/12,
            IF(DL$4=$P13,
               $U13/12,
               1
      ))),0),
    ROUND(
      DL13*IF(DL13*$I13&lt;=$L13,$J13,$I13)*
      IF($P13=1,
         $S13/12,
         IF(DL$4=1,
            $T13/12,
            IF(DL$4=$P13,
               $U13/12,
               1
      ))),0)
))))</f>
        <v>-</v>
      </c>
      <c r="DN13" s="56" t="str">
        <f ca="1">IF($H13=リスト!$AA$4,"-",
   IF($C13="-","-",
     IF(DN$4&gt;$P13,"-",
       IF(DN$4=1,$E13,OFFSET(DN13,0,-2)-OFFSET(DN13,0,-1)
))))</f>
        <v>-</v>
      </c>
      <c r="DO13" s="57" t="str">
        <f>IF($H13=リスト!$AA$4,"-",
 IF($C13="-","-",
  IF(DN$4&gt;$P13,"-",
   CHOOSE(MATCH($H$3,リスト!$AE$3:$AE$5,0),
    ROUNDUP(
      DN13*IF(DN13*$I13&lt;=$L13,$J13,$I13)*
      IF($P13=1,
         $S13/12,
         IF(DN$4=1,
            $T13/12,
            IF(DN$4=$P13,
               $U13/12,
               1
      ))),0),
    ROUNDDOWN(
      DN13*IF(DN13*$I13&lt;=$L13,$J13,$I13)*
      IF($P13=1,
         $S13/12,
         IF(DN$4=1,
            $T13/12,
            IF(DN$4=$P13,
               $U13/12,
               1
      ))),0),
    ROUND(
      DN13*IF(DN13*$I13&lt;=$L13,$J13,$I13)*
      IF($P13=1,
         $S13/12,
         IF(DN$4=1,
            $T13/12,
            IF(DN$4=$P13,
               $U13/12,
               1
      ))),0)
))))</f>
        <v>-</v>
      </c>
      <c r="DP13" s="56" t="str">
        <f ca="1">IF($H13=リスト!$AA$4,"-",
   IF($C13="-","-",
     IF(DP$4&gt;$P13,"-",
       IF(DP$4=1,$E13,OFFSET(DP13,0,-2)-OFFSET(DP13,0,-1)
))))</f>
        <v>-</v>
      </c>
      <c r="DQ13" s="57" t="str">
        <f>IF($H13=リスト!$AA$4,"-",
 IF($C13="-","-",
  IF(DP$4&gt;$P13,"-",
   CHOOSE(MATCH($H$3,リスト!$AE$3:$AE$5,0),
    ROUNDUP(
      DP13*IF(DP13*$I13&lt;=$L13,$J13,$I13)*
      IF($P13=1,
         $S13/12,
         IF(DP$4=1,
            $T13/12,
            IF(DP$4=$P13,
               $U13/12,
               1
      ))),0),
    ROUNDDOWN(
      DP13*IF(DP13*$I13&lt;=$L13,$J13,$I13)*
      IF($P13=1,
         $S13/12,
         IF(DP$4=1,
            $T13/12,
            IF(DP$4=$P13,
               $U13/12,
               1
      ))),0),
    ROUND(
      DP13*IF(DP13*$I13&lt;=$L13,$J13,$I13)*
      IF($P13=1,
         $S13/12,
         IF(DP$4=1,
            $T13/12,
            IF(DP$4=$P13,
               $U13/12,
               1
      ))),0)
))))</f>
        <v>-</v>
      </c>
      <c r="DR13" s="56" t="str">
        <f ca="1">IF($H13=リスト!$AA$4,"-",
   IF($C13="-","-",
     IF(DR$4&gt;$P13,"-",
       IF(DR$4=1,$E13,OFFSET(DR13,0,-2)-OFFSET(DR13,0,-1)
))))</f>
        <v>-</v>
      </c>
      <c r="DS13" s="57" t="str">
        <f>IF($H13=リスト!$AA$4,"-",
 IF($C13="-","-",
  IF(DR$4&gt;$P13,"-",
   CHOOSE(MATCH($H$3,リスト!$AE$3:$AE$5,0),
    ROUNDUP(
      DR13*IF(DR13*$I13&lt;=$L13,$J13,$I13)*
      IF($P13=1,
         $S13/12,
         IF(DR$4=1,
            $T13/12,
            IF(DR$4=$P13,
               $U13/12,
               1
      ))),0),
    ROUNDDOWN(
      DR13*IF(DR13*$I13&lt;=$L13,$J13,$I13)*
      IF($P13=1,
         $S13/12,
         IF(DR$4=1,
            $T13/12,
            IF(DR$4=$P13,
               $U13/12,
               1
      ))),0),
    ROUND(
      DR13*IF(DR13*$I13&lt;=$L13,$J13,$I13)*
      IF($P13=1,
         $S13/12,
         IF(DR$4=1,
            $T13/12,
            IF(DR$4=$P13,
               $U13/12,
               1
      ))),0)
))))</f>
        <v>-</v>
      </c>
      <c r="DT13" s="56" t="str" cm="1">
        <f t="array" ref="DT13">IF($H13&lt;&gt;リスト!$AA$3,"-",$E13-SUMPRODUCT(IFERROR($Y13:$DS13*1,0), --(MOD(COLUMN($Y13:$DS13)-COLUMN($Y13),2)=0)))</f>
        <v>-</v>
      </c>
      <c r="DU13" s="56" t="str">
        <f>IF($H13&lt;&gt;リスト!$AA$4,"-",
    IF($H$3=リスト!$AE$3,$E13-ROUNDUP($E13*I13*$W13/12,0),
    IF($H$3=リスト!$AE$4,$E13-ROUNDDOWN($E13*I13*$W13/12,0),
    IF($H$3=リスト!$AE$5,$E13-ROUND($E13*I13*$W13/12,0),
    "-"))))</f>
        <v>-</v>
      </c>
    </row>
    <row r="14" spans="2:125">
      <c r="B14" s="54">
        <v>9</v>
      </c>
      <c r="C14" s="55" t="str">
        <f>IF(財産処分報告用!$C14="","-",財産処分報告用!$C14)</f>
        <v>-</v>
      </c>
      <c r="D14" s="55" t="str">
        <f>財産処分報告用!$E14</f>
        <v>-</v>
      </c>
      <c r="E14" s="56" t="str">
        <f>IF(財産処分報告用!$J14="","-",財産処分報告用!$J14)</f>
        <v>-</v>
      </c>
      <c r="F14" s="101" t="str">
        <f>IF(財産処分報告用!$K14="","-",財産処分報告用!$K14)</f>
        <v>-</v>
      </c>
      <c r="G14" s="101" t="str">
        <f>IF(財産処分報告用!$L14="","-",財産処分報告用!$L14)</f>
        <v>-</v>
      </c>
      <c r="H14" s="55" t="str">
        <f>IF(財産処分報告用!$M14="","-",財産処分報告用!$M14)</f>
        <v>-</v>
      </c>
      <c r="I14" s="55" t="str">
        <f>IF(OR($D14="-",$H14="-"),"-",INDEX(リスト!$AG$2:$AI$101,MATCH($D14,リスト!$AG$2:$AG$101,0),MATCH($H14,リスト!$AG$2:$AI$2,0)))</f>
        <v>-</v>
      </c>
      <c r="J14" s="55" t="str">
        <f>IF(OR($D14="-",$H14="-"),"-",IF($H14=リスト!$AA$4,"-",INDEX(リスト!$AG$2:$AK$101,MATCH($D14,リスト!$AG$2:$AG$101,0),4)))</f>
        <v>-</v>
      </c>
      <c r="K14" s="55" t="str">
        <f>IF(OR($D14="-",$H14="-"),"-",IF($H14=リスト!$AA$4,"-",INDEX(リスト!$AG$2:$AK$101,MATCH($D14,リスト!$AG$2:$AG$101,0),5)))</f>
        <v>-</v>
      </c>
      <c r="L14" s="55" t="str">
        <f t="shared" si="0"/>
        <v>-</v>
      </c>
      <c r="M14" s="101" t="str">
        <f t="shared" si="1"/>
        <v>-</v>
      </c>
      <c r="N14" s="101" t="str">
        <f t="shared" si="2"/>
        <v>-</v>
      </c>
      <c r="O14" s="101" t="str">
        <f t="shared" si="3"/>
        <v>-</v>
      </c>
      <c r="P14" s="102" t="str">
        <f t="shared" si="4"/>
        <v>-</v>
      </c>
      <c r="Q14" s="115" t="str">
        <f t="shared" si="5"/>
        <v>-</v>
      </c>
      <c r="R14" s="116" t="str">
        <f t="shared" si="6"/>
        <v>-</v>
      </c>
      <c r="S14" s="102" t="str">
        <f t="shared" si="7"/>
        <v>-</v>
      </c>
      <c r="T14" s="102" t="str">
        <f t="shared" si="8"/>
        <v>-</v>
      </c>
      <c r="U14" s="102" t="str">
        <f t="shared" si="9"/>
        <v>-</v>
      </c>
      <c r="V14" s="102" t="str">
        <f t="shared" si="10"/>
        <v>-</v>
      </c>
      <c r="W14" s="55" t="str">
        <f t="shared" si="11"/>
        <v>-</v>
      </c>
      <c r="X14" s="56" t="str">
        <f ca="1">IF($H14=リスト!$AA$4,"-",
   IF($C14="-","-",
     IF(X$4&gt;$P14,"-",
       IF(X$4=1,$E14,OFFSET(X14,0,-2)-OFFSET(X14,0,-1)
))))</f>
        <v>-</v>
      </c>
      <c r="Y14" s="57" t="str">
        <f>IF($H14=リスト!$AA$4,"-",
 IF($C14="-","-",
  IF(X$4&gt;$P14,"-",
   CHOOSE(MATCH($H$3,リスト!$AE$3:$AE$5,0),
    ROUNDUP(
      X14*IF(X14*$I14&lt;=$L14,$J14,$I14)*
      IF($P14=1,
         $S14/12,
         IF(X$4=1,
            $T14/12,
            IF(X$4=$P14,
               $U14/12,
               1
      ))),0),
    ROUNDDOWN(
      X14*IF(X14*$I14&lt;=$L14,$J14,$I14)*
      IF($P14=1,
         $S14/12,
         IF(X$4=1,
            $T14/12,
            IF(X$4=$P14,
               $U14/12,
               1
      ))),0),
    ROUND(
      X14*IF(X14*$I14&lt;=$L14,$J14,$I14)*
      IF($P14=1,
         $S14/12,
         IF(X$4=1,
            $T14/12,
            IF(X$4=$P14,
               $U14/12,
               1
      ))),0)
))))</f>
        <v>-</v>
      </c>
      <c r="Z14" s="56" t="str">
        <f ca="1">IF($H14=リスト!$AA$4,"-",
   IF($C14="-","-",
     IF(Z$4&gt;$P14,"-",
       IF(Z$4=1,$E14,OFFSET(Z14,0,-2)-OFFSET(Z14,0,-1)
))))</f>
        <v>-</v>
      </c>
      <c r="AA14" s="57" t="str">
        <f>IF($H14=リスト!$AA$4,"-",
 IF($C14="-","-",
  IF(Z$4&gt;$P14,"-",
   CHOOSE(MATCH($H$3,リスト!$AE$3:$AE$5,0),
    ROUNDUP(
      Z14*IF(Z14*$I14&lt;=$L14,$J14,$I14)*
      IF($P14=1,
         $S14/12,
         IF(Z$4=1,
            $T14/12,
            IF(Z$4=$P14,
               $U14/12,
               1
      ))),0),
    ROUNDDOWN(
      Z14*IF(Z14*$I14&lt;=$L14,$J14,$I14)*
      IF($P14=1,
         $S14/12,
         IF(Z$4=1,
            $T14/12,
            IF(Z$4=$P14,
               $U14/12,
               1
      ))),0),
    ROUND(
      Z14*IF(Z14*$I14&lt;=$L14,$J14,$I14)*
      IF($P14=1,
         $S14/12,
         IF(Z$4=1,
            $T14/12,
            IF(Z$4=$P14,
               $U14/12,
               1
      ))),0)
))))</f>
        <v>-</v>
      </c>
      <c r="AB14" s="56" t="str">
        <f ca="1">IF($H14=リスト!$AA$4,"-",
   IF($C14="-","-",
     IF(AB$4&gt;$P14,"-",
       IF(AB$4=1,$E14,OFFSET(AB14,0,-2)-OFFSET(AB14,0,-1)
))))</f>
        <v>-</v>
      </c>
      <c r="AC14" s="57" t="str">
        <f>IF($H14=リスト!$AA$4,"-",
 IF($C14="-","-",
  IF(AB$4&gt;$P14,"-",
   CHOOSE(MATCH($H$3,リスト!$AE$3:$AE$5,0),
    ROUNDUP(
      AB14*IF(AB14*$I14&lt;=$L14,$J14,$I14)*
      IF($P14=1,
         $S14/12,
         IF(AB$4=1,
            $T14/12,
            IF(AB$4=$P14,
               $U14/12,
               1
      ))),0),
    ROUNDDOWN(
      AB14*IF(AB14*$I14&lt;=$L14,$J14,$I14)*
      IF($P14=1,
         $S14/12,
         IF(AB$4=1,
            $T14/12,
            IF(AB$4=$P14,
               $U14/12,
               1
      ))),0),
    ROUND(
      AB14*IF(AB14*$I14&lt;=$L14,$J14,$I14)*
      IF($P14=1,
         $S14/12,
         IF(AB$4=1,
            $T14/12,
            IF(AB$4=$P14,
               $U14/12,
               1
      ))),0)
))))</f>
        <v>-</v>
      </c>
      <c r="AD14" s="56" t="str">
        <f ca="1">IF($H14=リスト!$AA$4,"-",
   IF($C14="-","-",
     IF(AD$4&gt;$P14,"-",
       IF(AD$4=1,$E14,OFFSET(AD14,0,-2)-OFFSET(AD14,0,-1)
))))</f>
        <v>-</v>
      </c>
      <c r="AE14" s="57" t="str">
        <f>IF($H14=リスト!$AA$4,"-",
 IF($C14="-","-",
  IF(AD$4&gt;$P14,"-",
   CHOOSE(MATCH($H$3,リスト!$AE$3:$AE$5,0),
    ROUNDUP(
      AD14*IF(AD14*$I14&lt;=$L14,$J14,$I14)*
      IF($P14=1,
         $S14/12,
         IF(AD$4=1,
            $T14/12,
            IF(AD$4=$P14,
               $U14/12,
               1
      ))),0),
    ROUNDDOWN(
      AD14*IF(AD14*$I14&lt;=$L14,$J14,$I14)*
      IF($P14=1,
         $S14/12,
         IF(AD$4=1,
            $T14/12,
            IF(AD$4=$P14,
               $U14/12,
               1
      ))),0),
    ROUND(
      AD14*IF(AD14*$I14&lt;=$L14,$J14,$I14)*
      IF($P14=1,
         $S14/12,
         IF(AD$4=1,
            $T14/12,
            IF(AD$4=$P14,
               $U14/12,
               1
      ))),0)
))))</f>
        <v>-</v>
      </c>
      <c r="AF14" s="56" t="str">
        <f ca="1">IF($H14=リスト!$AA$4,"-",
   IF($C14="-","-",
     IF(AF$4&gt;$P14,"-",
       IF(AF$4=1,$E14,OFFSET(AF14,0,-2)-OFFSET(AF14,0,-1)
))))</f>
        <v>-</v>
      </c>
      <c r="AG14" s="57" t="str">
        <f>IF($H14=リスト!$AA$4,"-",
 IF($C14="-","-",
  IF(AF$4&gt;$P14,"-",
   CHOOSE(MATCH($H$3,リスト!$AE$3:$AE$5,0),
    ROUNDUP(
      AF14*IF(AF14*$I14&lt;=$L14,$J14,$I14)*
      IF($P14=1,
         $S14/12,
         IF(AF$4=1,
            $T14/12,
            IF(AF$4=$P14,
               $U14/12,
               1
      ))),0),
    ROUNDDOWN(
      AF14*IF(AF14*$I14&lt;=$L14,$J14,$I14)*
      IF($P14=1,
         $S14/12,
         IF(AF$4=1,
            $T14/12,
            IF(AF$4=$P14,
               $U14/12,
               1
      ))),0),
    ROUND(
      AF14*IF(AF14*$I14&lt;=$L14,$J14,$I14)*
      IF($P14=1,
         $S14/12,
         IF(AF$4=1,
            $T14/12,
            IF(AF$4=$P14,
               $U14/12,
               1
      ))),0)
))))</f>
        <v>-</v>
      </c>
      <c r="AH14" s="56" t="str">
        <f ca="1">IF($H14=リスト!$AA$4,"-",
   IF($C14="-","-",
     IF(AH$4&gt;$P14,"-",
       IF(AH$4=1,$E14,OFFSET(AH14,0,-2)-OFFSET(AH14,0,-1)
))))</f>
        <v>-</v>
      </c>
      <c r="AI14" s="57" t="str">
        <f>IF($H14=リスト!$AA$4,"-",
 IF($C14="-","-",
  IF(AH$4&gt;$P14,"-",
   CHOOSE(MATCH($H$3,リスト!$AE$3:$AE$5,0),
    ROUNDUP(
      AH14*IF(AH14*$I14&lt;=$L14,$J14,$I14)*
      IF($P14=1,
         $S14/12,
         IF(AH$4=1,
            $T14/12,
            IF(AH$4=$P14,
               $U14/12,
               1
      ))),0),
    ROUNDDOWN(
      AH14*IF(AH14*$I14&lt;=$L14,$J14,$I14)*
      IF($P14=1,
         $S14/12,
         IF(AH$4=1,
            $T14/12,
            IF(AH$4=$P14,
               $U14/12,
               1
      ))),0),
    ROUND(
      AH14*IF(AH14*$I14&lt;=$L14,$J14,$I14)*
      IF($P14=1,
         $S14/12,
         IF(AH$4=1,
            $T14/12,
            IF(AH$4=$P14,
               $U14/12,
               1
      ))),0)
))))</f>
        <v>-</v>
      </c>
      <c r="AJ14" s="56" t="str">
        <f ca="1">IF($H14=リスト!$AA$4,"-",
   IF($C14="-","-",
     IF(AJ$4&gt;$P14,"-",
       IF(AJ$4=1,$E14,OFFSET(AJ14,0,-2)-OFFSET(AJ14,0,-1)
))))</f>
        <v>-</v>
      </c>
      <c r="AK14" s="57" t="str">
        <f>IF($H14=リスト!$AA$4,"-",
 IF($C14="-","-",
  IF(AJ$4&gt;$P14,"-",
   CHOOSE(MATCH($H$3,リスト!$AE$3:$AE$5,0),
    ROUNDUP(
      AJ14*IF(AJ14*$I14&lt;=$L14,$J14,$I14)*
      IF($P14=1,
         $S14/12,
         IF(AJ$4=1,
            $T14/12,
            IF(AJ$4=$P14,
               $U14/12,
               1
      ))),0),
    ROUNDDOWN(
      AJ14*IF(AJ14*$I14&lt;=$L14,$J14,$I14)*
      IF($P14=1,
         $S14/12,
         IF(AJ$4=1,
            $T14/12,
            IF(AJ$4=$P14,
               $U14/12,
               1
      ))),0),
    ROUND(
      AJ14*IF(AJ14*$I14&lt;=$L14,$J14,$I14)*
      IF($P14=1,
         $S14/12,
         IF(AJ$4=1,
            $T14/12,
            IF(AJ$4=$P14,
               $U14/12,
               1
      ))),0)
))))</f>
        <v>-</v>
      </c>
      <c r="AL14" s="56" t="str">
        <f ca="1">IF($H14=リスト!$AA$4,"-",
   IF($C14="-","-",
     IF(AL$4&gt;$P14,"-",
       IF(AL$4=1,$E14,OFFSET(AL14,0,-2)-OFFSET(AL14,0,-1)
))))</f>
        <v>-</v>
      </c>
      <c r="AM14" s="57" t="str">
        <f>IF($H14=リスト!$AA$4,"-",
 IF($C14="-","-",
  IF(AL$4&gt;$P14,"-",
   CHOOSE(MATCH($H$3,リスト!$AE$3:$AE$5,0),
    ROUNDUP(
      AL14*IF(AL14*$I14&lt;=$L14,$J14,$I14)*
      IF($P14=1,
         $S14/12,
         IF(AL$4=1,
            $T14/12,
            IF(AL$4=$P14,
               $U14/12,
               1
      ))),0),
    ROUNDDOWN(
      AL14*IF(AL14*$I14&lt;=$L14,$J14,$I14)*
      IF($P14=1,
         $S14/12,
         IF(AL$4=1,
            $T14/12,
            IF(AL$4=$P14,
               $U14/12,
               1
      ))),0),
    ROUND(
      AL14*IF(AL14*$I14&lt;=$L14,$J14,$I14)*
      IF($P14=1,
         $S14/12,
         IF(AL$4=1,
            $T14/12,
            IF(AL$4=$P14,
               $U14/12,
               1
      ))),0)
))))</f>
        <v>-</v>
      </c>
      <c r="AN14" s="56" t="str">
        <f ca="1">IF($H14=リスト!$AA$4,"-",
   IF($C14="-","-",
     IF(AN$4&gt;$P14,"-",
       IF(AN$4=1,$E14,OFFSET(AN14,0,-2)-OFFSET(AN14,0,-1)
))))</f>
        <v>-</v>
      </c>
      <c r="AO14" s="57" t="str">
        <f>IF($H14=リスト!$AA$4,"-",
 IF($C14="-","-",
  IF(AN$4&gt;$P14,"-",
   CHOOSE(MATCH($H$3,リスト!$AE$3:$AE$5,0),
    ROUNDUP(
      AN14*IF(AN14*$I14&lt;=$L14,$J14,$I14)*
      IF($P14=1,
         $S14/12,
         IF(AN$4=1,
            $T14/12,
            IF(AN$4=$P14,
               $U14/12,
               1
      ))),0),
    ROUNDDOWN(
      AN14*IF(AN14*$I14&lt;=$L14,$J14,$I14)*
      IF($P14=1,
         $S14/12,
         IF(AN$4=1,
            $T14/12,
            IF(AN$4=$P14,
               $U14/12,
               1
      ))),0),
    ROUND(
      AN14*IF(AN14*$I14&lt;=$L14,$J14,$I14)*
      IF($P14=1,
         $S14/12,
         IF(AN$4=1,
            $T14/12,
            IF(AN$4=$P14,
               $U14/12,
               1
      ))),0)
))))</f>
        <v>-</v>
      </c>
      <c r="AP14" s="56" t="str">
        <f ca="1">IF($H14=リスト!$AA$4,"-",
   IF($C14="-","-",
     IF(AP$4&gt;$P14,"-",
       IF(AP$4=1,$E14,OFFSET(AP14,0,-2)-OFFSET(AP14,0,-1)
))))</f>
        <v>-</v>
      </c>
      <c r="AQ14" s="57" t="str">
        <f>IF($H14=リスト!$AA$4,"-",
 IF($C14="-","-",
  IF(AP$4&gt;$P14,"-",
   CHOOSE(MATCH($H$3,リスト!$AE$3:$AE$5,0),
    ROUNDUP(
      AP14*IF(AP14*$I14&lt;=$L14,$J14,$I14)*
      IF($P14=1,
         $S14/12,
         IF(AP$4=1,
            $T14/12,
            IF(AP$4=$P14,
               $U14/12,
               1
      ))),0),
    ROUNDDOWN(
      AP14*IF(AP14*$I14&lt;=$L14,$J14,$I14)*
      IF($P14=1,
         $S14/12,
         IF(AP$4=1,
            $T14/12,
            IF(AP$4=$P14,
               $U14/12,
               1
      ))),0),
    ROUND(
      AP14*IF(AP14*$I14&lt;=$L14,$J14,$I14)*
      IF($P14=1,
         $S14/12,
         IF(AP$4=1,
            $T14/12,
            IF(AP$4=$P14,
               $U14/12,
               1
      ))),0)
))))</f>
        <v>-</v>
      </c>
      <c r="AR14" s="56" t="str">
        <f ca="1">IF($H14=リスト!$AA$4,"-",
   IF($C14="-","-",
     IF(AR$4&gt;$P14,"-",
       IF(AR$4=1,$E14,OFFSET(AR14,0,-2)-OFFSET(AR14,0,-1)
))))</f>
        <v>-</v>
      </c>
      <c r="AS14" s="57" t="str">
        <f>IF($H14=リスト!$AA$4,"-",
 IF($C14="-","-",
  IF(AR$4&gt;$P14,"-",
   CHOOSE(MATCH($H$3,リスト!$AE$3:$AE$5,0),
    ROUNDUP(
      AR14*IF(AR14*$I14&lt;=$L14,$J14,$I14)*
      IF($P14=1,
         $S14/12,
         IF(AR$4=1,
            $T14/12,
            IF(AR$4=$P14,
               $U14/12,
               1
      ))),0),
    ROUNDDOWN(
      AR14*IF(AR14*$I14&lt;=$L14,$J14,$I14)*
      IF($P14=1,
         $S14/12,
         IF(AR$4=1,
            $T14/12,
            IF(AR$4=$P14,
               $U14/12,
               1
      ))),0),
    ROUND(
      AR14*IF(AR14*$I14&lt;=$L14,$J14,$I14)*
      IF($P14=1,
         $S14/12,
         IF(AR$4=1,
            $T14/12,
            IF(AR$4=$P14,
               $U14/12,
               1
      ))),0)
))))</f>
        <v>-</v>
      </c>
      <c r="AT14" s="56" t="str">
        <f ca="1">IF($H14=リスト!$AA$4,"-",
   IF($C14="-","-",
     IF(AT$4&gt;$P14,"-",
       IF(AT$4=1,$E14,OFFSET(AT14,0,-2)-OFFSET(AT14,0,-1)
))))</f>
        <v>-</v>
      </c>
      <c r="AU14" s="57" t="str">
        <f>IF($H14=リスト!$AA$4,"-",
 IF($C14="-","-",
  IF(AT$4&gt;$P14,"-",
   CHOOSE(MATCH($H$3,リスト!$AE$3:$AE$5,0),
    ROUNDUP(
      AT14*IF(AT14*$I14&lt;=$L14,$J14,$I14)*
      IF($P14=1,
         $S14/12,
         IF(AT$4=1,
            $T14/12,
            IF(AT$4=$P14,
               $U14/12,
               1
      ))),0),
    ROUNDDOWN(
      AT14*IF(AT14*$I14&lt;=$L14,$J14,$I14)*
      IF($P14=1,
         $S14/12,
         IF(AT$4=1,
            $T14/12,
            IF(AT$4=$P14,
               $U14/12,
               1
      ))),0),
    ROUND(
      AT14*IF(AT14*$I14&lt;=$L14,$J14,$I14)*
      IF($P14=1,
         $S14/12,
         IF(AT$4=1,
            $T14/12,
            IF(AT$4=$P14,
               $U14/12,
               1
      ))),0)
))))</f>
        <v>-</v>
      </c>
      <c r="AV14" s="56" t="str">
        <f ca="1">IF($H14=リスト!$AA$4,"-",
   IF($C14="-","-",
     IF(AV$4&gt;$P14,"-",
       IF(AV$4=1,$E14,OFFSET(AV14,0,-2)-OFFSET(AV14,0,-1)
))))</f>
        <v>-</v>
      </c>
      <c r="AW14" s="57" t="str">
        <f>IF($H14=リスト!$AA$4,"-",
 IF($C14="-","-",
  IF(AV$4&gt;$P14,"-",
   CHOOSE(MATCH($H$3,リスト!$AE$3:$AE$5,0),
    ROUNDUP(
      AV14*IF(AV14*$I14&lt;=$L14,$J14,$I14)*
      IF($P14=1,
         $S14/12,
         IF(AV$4=1,
            $T14/12,
            IF(AV$4=$P14,
               $U14/12,
               1
      ))),0),
    ROUNDDOWN(
      AV14*IF(AV14*$I14&lt;=$L14,$J14,$I14)*
      IF($P14=1,
         $S14/12,
         IF(AV$4=1,
            $T14/12,
            IF(AV$4=$P14,
               $U14/12,
               1
      ))),0),
    ROUND(
      AV14*IF(AV14*$I14&lt;=$L14,$J14,$I14)*
      IF($P14=1,
         $S14/12,
         IF(AV$4=1,
            $T14/12,
            IF(AV$4=$P14,
               $U14/12,
               1
      ))),0)
))))</f>
        <v>-</v>
      </c>
      <c r="AX14" s="56" t="str">
        <f ca="1">IF($H14=リスト!$AA$4,"-",
   IF($C14="-","-",
     IF(AX$4&gt;$P14,"-",
       IF(AX$4=1,$E14,OFFSET(AX14,0,-2)-OFFSET(AX14,0,-1)
))))</f>
        <v>-</v>
      </c>
      <c r="AY14" s="57" t="str">
        <f>IF($H14=リスト!$AA$4,"-",
 IF($C14="-","-",
  IF(AX$4&gt;$P14,"-",
   CHOOSE(MATCH($H$3,リスト!$AE$3:$AE$5,0),
    ROUNDUP(
      AX14*IF(AX14*$I14&lt;=$L14,$J14,$I14)*
      IF($P14=1,
         $S14/12,
         IF(AX$4=1,
            $T14/12,
            IF(AX$4=$P14,
               $U14/12,
               1
      ))),0),
    ROUNDDOWN(
      AX14*IF(AX14*$I14&lt;=$L14,$J14,$I14)*
      IF($P14=1,
         $S14/12,
         IF(AX$4=1,
            $T14/12,
            IF(AX$4=$P14,
               $U14/12,
               1
      ))),0),
    ROUND(
      AX14*IF(AX14*$I14&lt;=$L14,$J14,$I14)*
      IF($P14=1,
         $S14/12,
         IF(AX$4=1,
            $T14/12,
            IF(AX$4=$P14,
               $U14/12,
               1
      ))),0)
))))</f>
        <v>-</v>
      </c>
      <c r="AZ14" s="56" t="str">
        <f ca="1">IF($H14=リスト!$AA$4,"-",
   IF($C14="-","-",
     IF(AZ$4&gt;$P14,"-",
       IF(AZ$4=1,$E14,OFFSET(AZ14,0,-2)-OFFSET(AZ14,0,-1)
))))</f>
        <v>-</v>
      </c>
      <c r="BA14" s="57" t="str">
        <f>IF($H14=リスト!$AA$4,"-",
 IF($C14="-","-",
  IF(AZ$4&gt;$P14,"-",
   CHOOSE(MATCH($H$3,リスト!$AE$3:$AE$5,0),
    ROUNDUP(
      AZ14*IF(AZ14*$I14&lt;=$L14,$J14,$I14)*
      IF($P14=1,
         $S14/12,
         IF(AZ$4=1,
            $T14/12,
            IF(AZ$4=$P14,
               $U14/12,
               1
      ))),0),
    ROUNDDOWN(
      AZ14*IF(AZ14*$I14&lt;=$L14,$J14,$I14)*
      IF($P14=1,
         $S14/12,
         IF(AZ$4=1,
            $T14/12,
            IF(AZ$4=$P14,
               $U14/12,
               1
      ))),0),
    ROUND(
      AZ14*IF(AZ14*$I14&lt;=$L14,$J14,$I14)*
      IF($P14=1,
         $S14/12,
         IF(AZ$4=1,
            $T14/12,
            IF(AZ$4=$P14,
               $U14/12,
               1
      ))),0)
))))</f>
        <v>-</v>
      </c>
      <c r="BB14" s="56" t="str">
        <f ca="1">IF($H14=リスト!$AA$4,"-",
   IF($C14="-","-",
     IF(BB$4&gt;$P14,"-",
       IF(BB$4=1,$E14,OFFSET(BB14,0,-2)-OFFSET(BB14,0,-1)
))))</f>
        <v>-</v>
      </c>
      <c r="BC14" s="57" t="str">
        <f>IF($H14=リスト!$AA$4,"-",
 IF($C14="-","-",
  IF(BB$4&gt;$P14,"-",
   CHOOSE(MATCH($H$3,リスト!$AE$3:$AE$5,0),
    ROUNDUP(
      BB14*IF(BB14*$I14&lt;=$L14,$J14,$I14)*
      IF($P14=1,
         $S14/12,
         IF(BB$4=1,
            $T14/12,
            IF(BB$4=$P14,
               $U14/12,
               1
      ))),0),
    ROUNDDOWN(
      BB14*IF(BB14*$I14&lt;=$L14,$J14,$I14)*
      IF($P14=1,
         $S14/12,
         IF(BB$4=1,
            $T14/12,
            IF(BB$4=$P14,
               $U14/12,
               1
      ))),0),
    ROUND(
      BB14*IF(BB14*$I14&lt;=$L14,$J14,$I14)*
      IF($P14=1,
         $S14/12,
         IF(BB$4=1,
            $T14/12,
            IF(BB$4=$P14,
               $U14/12,
               1
      ))),0)
))))</f>
        <v>-</v>
      </c>
      <c r="BD14" s="56" t="str">
        <f ca="1">IF($H14=リスト!$AA$4,"-",
   IF($C14="-","-",
     IF(BD$4&gt;$P14,"-",
       IF(BD$4=1,$E14,OFFSET(BD14,0,-2)-OFFSET(BD14,0,-1)
))))</f>
        <v>-</v>
      </c>
      <c r="BE14" s="57" t="str">
        <f>IF($H14=リスト!$AA$4,"-",
 IF($C14="-","-",
  IF(BD$4&gt;$P14,"-",
   CHOOSE(MATCH($H$3,リスト!$AE$3:$AE$5,0),
    ROUNDUP(
      BD14*IF(BD14*$I14&lt;=$L14,$J14,$I14)*
      IF($P14=1,
         $S14/12,
         IF(BD$4=1,
            $T14/12,
            IF(BD$4=$P14,
               $U14/12,
               1
      ))),0),
    ROUNDDOWN(
      BD14*IF(BD14*$I14&lt;=$L14,$J14,$I14)*
      IF($P14=1,
         $S14/12,
         IF(BD$4=1,
            $T14/12,
            IF(BD$4=$P14,
               $U14/12,
               1
      ))),0),
    ROUND(
      BD14*IF(BD14*$I14&lt;=$L14,$J14,$I14)*
      IF($P14=1,
         $S14/12,
         IF(BD$4=1,
            $T14/12,
            IF(BD$4=$P14,
               $U14/12,
               1
      ))),0)
))))</f>
        <v>-</v>
      </c>
      <c r="BF14" s="56" t="str">
        <f ca="1">IF($H14=リスト!$AA$4,"-",
   IF($C14="-","-",
     IF(BF$4&gt;$P14,"-",
       IF(BF$4=1,$E14,OFFSET(BF14,0,-2)-OFFSET(BF14,0,-1)
))))</f>
        <v>-</v>
      </c>
      <c r="BG14" s="57" t="str">
        <f>IF($H14=リスト!$AA$4,"-",
 IF($C14="-","-",
  IF(BF$4&gt;$P14,"-",
   CHOOSE(MATCH($H$3,リスト!$AE$3:$AE$5,0),
    ROUNDUP(
      BF14*IF(BF14*$I14&lt;=$L14,$J14,$I14)*
      IF($P14=1,
         $S14/12,
         IF(BF$4=1,
            $T14/12,
            IF(BF$4=$P14,
               $U14/12,
               1
      ))),0),
    ROUNDDOWN(
      BF14*IF(BF14*$I14&lt;=$L14,$J14,$I14)*
      IF($P14=1,
         $S14/12,
         IF(BF$4=1,
            $T14/12,
            IF(BF$4=$P14,
               $U14/12,
               1
      ))),0),
    ROUND(
      BF14*IF(BF14*$I14&lt;=$L14,$J14,$I14)*
      IF($P14=1,
         $S14/12,
         IF(BF$4=1,
            $T14/12,
            IF(BF$4=$P14,
               $U14/12,
               1
      ))),0)
))))</f>
        <v>-</v>
      </c>
      <c r="BH14" s="56" t="str">
        <f ca="1">IF($H14=リスト!$AA$4,"-",
   IF($C14="-","-",
     IF(BH$4&gt;$P14,"-",
       IF(BH$4=1,$E14,OFFSET(BH14,0,-2)-OFFSET(BH14,0,-1)
))))</f>
        <v>-</v>
      </c>
      <c r="BI14" s="57" t="str">
        <f>IF($H14=リスト!$AA$4,"-",
 IF($C14="-","-",
  IF(BH$4&gt;$P14,"-",
   CHOOSE(MATCH($H$3,リスト!$AE$3:$AE$5,0),
    ROUNDUP(
      BH14*IF(BH14*$I14&lt;=$L14,$J14,$I14)*
      IF($P14=1,
         $S14/12,
         IF(BH$4=1,
            $T14/12,
            IF(BH$4=$P14,
               $U14/12,
               1
      ))),0),
    ROUNDDOWN(
      BH14*IF(BH14*$I14&lt;=$L14,$J14,$I14)*
      IF($P14=1,
         $S14/12,
         IF(BH$4=1,
            $T14/12,
            IF(BH$4=$P14,
               $U14/12,
               1
      ))),0),
    ROUND(
      BH14*IF(BH14*$I14&lt;=$L14,$J14,$I14)*
      IF($P14=1,
         $S14/12,
         IF(BH$4=1,
            $T14/12,
            IF(BH$4=$P14,
               $U14/12,
               1
      ))),0)
))))</f>
        <v>-</v>
      </c>
      <c r="BJ14" s="56" t="str">
        <f ca="1">IF($H14=リスト!$AA$4,"-",
   IF($C14="-","-",
     IF(BJ$4&gt;$P14,"-",
       IF(BJ$4=1,$E14,OFFSET(BJ14,0,-2)-OFFSET(BJ14,0,-1)
))))</f>
        <v>-</v>
      </c>
      <c r="BK14" s="57" t="str">
        <f>IF($H14=リスト!$AA$4,"-",
 IF($C14="-","-",
  IF(BJ$4&gt;$P14,"-",
   CHOOSE(MATCH($H$3,リスト!$AE$3:$AE$5,0),
    ROUNDUP(
      BJ14*IF(BJ14*$I14&lt;=$L14,$J14,$I14)*
      IF($P14=1,
         $S14/12,
         IF(BJ$4=1,
            $T14/12,
            IF(BJ$4=$P14,
               $U14/12,
               1
      ))),0),
    ROUNDDOWN(
      BJ14*IF(BJ14*$I14&lt;=$L14,$J14,$I14)*
      IF($P14=1,
         $S14/12,
         IF(BJ$4=1,
            $T14/12,
            IF(BJ$4=$P14,
               $U14/12,
               1
      ))),0),
    ROUND(
      BJ14*IF(BJ14*$I14&lt;=$L14,$J14,$I14)*
      IF($P14=1,
         $S14/12,
         IF(BJ$4=1,
            $T14/12,
            IF(BJ$4=$P14,
               $U14/12,
               1
      ))),0)
))))</f>
        <v>-</v>
      </c>
      <c r="BL14" s="56" t="str">
        <f ca="1">IF($H14=リスト!$AA$4,"-",
   IF($C14="-","-",
     IF(BL$4&gt;$P14,"-",
       IF(BL$4=1,$E14,OFFSET(BL14,0,-2)-OFFSET(BL14,0,-1)
))))</f>
        <v>-</v>
      </c>
      <c r="BM14" s="57" t="str">
        <f>IF($H14=リスト!$AA$4,"-",
 IF($C14="-","-",
  IF(BL$4&gt;$P14,"-",
   CHOOSE(MATCH($H$3,リスト!$AE$3:$AE$5,0),
    ROUNDUP(
      BL14*IF(BL14*$I14&lt;=$L14,$J14,$I14)*
      IF($P14=1,
         $S14/12,
         IF(BL$4=1,
            $T14/12,
            IF(BL$4=$P14,
               $U14/12,
               1
      ))),0),
    ROUNDDOWN(
      BL14*IF(BL14*$I14&lt;=$L14,$J14,$I14)*
      IF($P14=1,
         $S14/12,
         IF(BL$4=1,
            $T14/12,
            IF(BL$4=$P14,
               $U14/12,
               1
      ))),0),
    ROUND(
      BL14*IF(BL14*$I14&lt;=$L14,$J14,$I14)*
      IF($P14=1,
         $S14/12,
         IF(BL$4=1,
            $T14/12,
            IF(BL$4=$P14,
               $U14/12,
               1
      ))),0)
))))</f>
        <v>-</v>
      </c>
      <c r="BN14" s="56" t="str">
        <f ca="1">IF($H14=リスト!$AA$4,"-",
   IF($C14="-","-",
     IF(BN$4&gt;$P14,"-",
       IF(BN$4=1,$E14,OFFSET(BN14,0,-2)-OFFSET(BN14,0,-1)
))))</f>
        <v>-</v>
      </c>
      <c r="BO14" s="57" t="str">
        <f>IF($H14=リスト!$AA$4,"-",
 IF($C14="-","-",
  IF(BN$4&gt;$P14,"-",
   CHOOSE(MATCH($H$3,リスト!$AE$3:$AE$5,0),
    ROUNDUP(
      BN14*IF(BN14*$I14&lt;=$L14,$J14,$I14)*
      IF($P14=1,
         $S14/12,
         IF(BN$4=1,
            $T14/12,
            IF(BN$4=$P14,
               $U14/12,
               1
      ))),0),
    ROUNDDOWN(
      BN14*IF(BN14*$I14&lt;=$L14,$J14,$I14)*
      IF($P14=1,
         $S14/12,
         IF(BN$4=1,
            $T14/12,
            IF(BN$4=$P14,
               $U14/12,
               1
      ))),0),
    ROUND(
      BN14*IF(BN14*$I14&lt;=$L14,$J14,$I14)*
      IF($P14=1,
         $S14/12,
         IF(BN$4=1,
            $T14/12,
            IF(BN$4=$P14,
               $U14/12,
               1
      ))),0)
))))</f>
        <v>-</v>
      </c>
      <c r="BP14" s="56" t="str">
        <f ca="1">IF($H14=リスト!$AA$4,"-",
   IF($C14="-","-",
     IF(BP$4&gt;$P14,"-",
       IF(BP$4=1,$E14,OFFSET(BP14,0,-2)-OFFSET(BP14,0,-1)
))))</f>
        <v>-</v>
      </c>
      <c r="BQ14" s="57" t="str">
        <f>IF($H14=リスト!$AA$4,"-",
 IF($C14="-","-",
  IF(BP$4&gt;$P14,"-",
   CHOOSE(MATCH($H$3,リスト!$AE$3:$AE$5,0),
    ROUNDUP(
      BP14*IF(BP14*$I14&lt;=$L14,$J14,$I14)*
      IF($P14=1,
         $S14/12,
         IF(BP$4=1,
            $T14/12,
            IF(BP$4=$P14,
               $U14/12,
               1
      ))),0),
    ROUNDDOWN(
      BP14*IF(BP14*$I14&lt;=$L14,$J14,$I14)*
      IF($P14=1,
         $S14/12,
         IF(BP$4=1,
            $T14/12,
            IF(BP$4=$P14,
               $U14/12,
               1
      ))),0),
    ROUND(
      BP14*IF(BP14*$I14&lt;=$L14,$J14,$I14)*
      IF($P14=1,
         $S14/12,
         IF(BP$4=1,
            $T14/12,
            IF(BP$4=$P14,
               $U14/12,
               1
      ))),0)
))))</f>
        <v>-</v>
      </c>
      <c r="BR14" s="56" t="str">
        <f ca="1">IF($H14=リスト!$AA$4,"-",
   IF($C14="-","-",
     IF(BR$4&gt;$P14,"-",
       IF(BR$4=1,$E14,OFFSET(BR14,0,-2)-OFFSET(BR14,0,-1)
))))</f>
        <v>-</v>
      </c>
      <c r="BS14" s="57" t="str">
        <f>IF($H14=リスト!$AA$4,"-",
 IF($C14="-","-",
  IF(BR$4&gt;$P14,"-",
   CHOOSE(MATCH($H$3,リスト!$AE$3:$AE$5,0),
    ROUNDUP(
      BR14*IF(BR14*$I14&lt;=$L14,$J14,$I14)*
      IF($P14=1,
         $S14/12,
         IF(BR$4=1,
            $T14/12,
            IF(BR$4=$P14,
               $U14/12,
               1
      ))),0),
    ROUNDDOWN(
      BR14*IF(BR14*$I14&lt;=$L14,$J14,$I14)*
      IF($P14=1,
         $S14/12,
         IF(BR$4=1,
            $T14/12,
            IF(BR$4=$P14,
               $U14/12,
               1
      ))),0),
    ROUND(
      BR14*IF(BR14*$I14&lt;=$L14,$J14,$I14)*
      IF($P14=1,
         $S14/12,
         IF(BR$4=1,
            $T14/12,
            IF(BR$4=$P14,
               $U14/12,
               1
      ))),0)
))))</f>
        <v>-</v>
      </c>
      <c r="BT14" s="56" t="str">
        <f ca="1">IF($H14=リスト!$AA$4,"-",
   IF($C14="-","-",
     IF(BT$4&gt;$P14,"-",
       IF(BT$4=1,$E14,OFFSET(BT14,0,-2)-OFFSET(BT14,0,-1)
))))</f>
        <v>-</v>
      </c>
      <c r="BU14" s="57" t="str">
        <f>IF($H14=リスト!$AA$4,"-",
 IF($C14="-","-",
  IF(BT$4&gt;$P14,"-",
   CHOOSE(MATCH($H$3,リスト!$AE$3:$AE$5,0),
    ROUNDUP(
      BT14*IF(BT14*$I14&lt;=$L14,$J14,$I14)*
      IF($P14=1,
         $S14/12,
         IF(BT$4=1,
            $T14/12,
            IF(BT$4=$P14,
               $U14/12,
               1
      ))),0),
    ROUNDDOWN(
      BT14*IF(BT14*$I14&lt;=$L14,$J14,$I14)*
      IF($P14=1,
         $S14/12,
         IF(BT$4=1,
            $T14/12,
            IF(BT$4=$P14,
               $U14/12,
               1
      ))),0),
    ROUND(
      BT14*IF(BT14*$I14&lt;=$L14,$J14,$I14)*
      IF($P14=1,
         $S14/12,
         IF(BT$4=1,
            $T14/12,
            IF(BT$4=$P14,
               $U14/12,
               1
      ))),0)
))))</f>
        <v>-</v>
      </c>
      <c r="BV14" s="56" t="str">
        <f ca="1">IF($H14=リスト!$AA$4,"-",
   IF($C14="-","-",
     IF(BV$4&gt;$P14,"-",
       IF(BV$4=1,$E14,OFFSET(BV14,0,-2)-OFFSET(BV14,0,-1)
))))</f>
        <v>-</v>
      </c>
      <c r="BW14" s="57" t="str">
        <f>IF($H14=リスト!$AA$4,"-",
 IF($C14="-","-",
  IF(BV$4&gt;$P14,"-",
   CHOOSE(MATCH($H$3,リスト!$AE$3:$AE$5,0),
    ROUNDUP(
      BV14*IF(BV14*$I14&lt;=$L14,$J14,$I14)*
      IF($P14=1,
         $S14/12,
         IF(BV$4=1,
            $T14/12,
            IF(BV$4=$P14,
               $U14/12,
               1
      ))),0),
    ROUNDDOWN(
      BV14*IF(BV14*$I14&lt;=$L14,$J14,$I14)*
      IF($P14=1,
         $S14/12,
         IF(BV$4=1,
            $T14/12,
            IF(BV$4=$P14,
               $U14/12,
               1
      ))),0),
    ROUND(
      BV14*IF(BV14*$I14&lt;=$L14,$J14,$I14)*
      IF($P14=1,
         $S14/12,
         IF(BV$4=1,
            $T14/12,
            IF(BV$4=$P14,
               $U14/12,
               1
      ))),0)
))))</f>
        <v>-</v>
      </c>
      <c r="BX14" s="56" t="str">
        <f ca="1">IF($H14=リスト!$AA$4,"-",
   IF($C14="-","-",
     IF(BX$4&gt;$P14,"-",
       IF(BX$4=1,$E14,OFFSET(BX14,0,-2)-OFFSET(BX14,0,-1)
))))</f>
        <v>-</v>
      </c>
      <c r="BY14" s="57" t="str">
        <f>IF($H14=リスト!$AA$4,"-",
 IF($C14="-","-",
  IF(BX$4&gt;$P14,"-",
   CHOOSE(MATCH($H$3,リスト!$AE$3:$AE$5,0),
    ROUNDUP(
      BX14*IF(BX14*$I14&lt;=$L14,$J14,$I14)*
      IF($P14=1,
         $S14/12,
         IF(BX$4=1,
            $T14/12,
            IF(BX$4=$P14,
               $U14/12,
               1
      ))),0),
    ROUNDDOWN(
      BX14*IF(BX14*$I14&lt;=$L14,$J14,$I14)*
      IF($P14=1,
         $S14/12,
         IF(BX$4=1,
            $T14/12,
            IF(BX$4=$P14,
               $U14/12,
               1
      ))),0),
    ROUND(
      BX14*IF(BX14*$I14&lt;=$L14,$J14,$I14)*
      IF($P14=1,
         $S14/12,
         IF(BX$4=1,
            $T14/12,
            IF(BX$4=$P14,
               $U14/12,
               1
      ))),0)
))))</f>
        <v>-</v>
      </c>
      <c r="BZ14" s="56" t="str">
        <f ca="1">IF($H14=リスト!$AA$4,"-",
   IF($C14="-","-",
     IF(BZ$4&gt;$P14,"-",
       IF(BZ$4=1,$E14,OFFSET(BZ14,0,-2)-OFFSET(BZ14,0,-1)
))))</f>
        <v>-</v>
      </c>
      <c r="CA14" s="57" t="str">
        <f>IF($H14=リスト!$AA$4,"-",
 IF($C14="-","-",
  IF(BZ$4&gt;$P14,"-",
   CHOOSE(MATCH($H$3,リスト!$AE$3:$AE$5,0),
    ROUNDUP(
      BZ14*IF(BZ14*$I14&lt;=$L14,$J14,$I14)*
      IF($P14=1,
         $S14/12,
         IF(BZ$4=1,
            $T14/12,
            IF(BZ$4=$P14,
               $U14/12,
               1
      ))),0),
    ROUNDDOWN(
      BZ14*IF(BZ14*$I14&lt;=$L14,$J14,$I14)*
      IF($P14=1,
         $S14/12,
         IF(BZ$4=1,
            $T14/12,
            IF(BZ$4=$P14,
               $U14/12,
               1
      ))),0),
    ROUND(
      BZ14*IF(BZ14*$I14&lt;=$L14,$J14,$I14)*
      IF($P14=1,
         $S14/12,
         IF(BZ$4=1,
            $T14/12,
            IF(BZ$4=$P14,
               $U14/12,
               1
      ))),0)
))))</f>
        <v>-</v>
      </c>
      <c r="CB14" s="56" t="str">
        <f ca="1">IF($H14=リスト!$AA$4,"-",
   IF($C14="-","-",
     IF(CB$4&gt;$P14,"-",
       IF(CB$4=1,$E14,OFFSET(CB14,0,-2)-OFFSET(CB14,0,-1)
))))</f>
        <v>-</v>
      </c>
      <c r="CC14" s="57" t="str">
        <f>IF($H14=リスト!$AA$4,"-",
 IF($C14="-","-",
  IF(CB$4&gt;$P14,"-",
   CHOOSE(MATCH($H$3,リスト!$AE$3:$AE$5,0),
    ROUNDUP(
      CB14*IF(CB14*$I14&lt;=$L14,$J14,$I14)*
      IF($P14=1,
         $S14/12,
         IF(CB$4=1,
            $T14/12,
            IF(CB$4=$P14,
               $U14/12,
               1
      ))),0),
    ROUNDDOWN(
      CB14*IF(CB14*$I14&lt;=$L14,$J14,$I14)*
      IF($P14=1,
         $S14/12,
         IF(CB$4=1,
            $T14/12,
            IF(CB$4=$P14,
               $U14/12,
               1
      ))),0),
    ROUND(
      CB14*IF(CB14*$I14&lt;=$L14,$J14,$I14)*
      IF($P14=1,
         $S14/12,
         IF(CB$4=1,
            $T14/12,
            IF(CB$4=$P14,
               $U14/12,
               1
      ))),0)
))))</f>
        <v>-</v>
      </c>
      <c r="CD14" s="56" t="str">
        <f ca="1">IF($H14=リスト!$AA$4,"-",
   IF($C14="-","-",
     IF(CD$4&gt;$P14,"-",
       IF(CD$4=1,$E14,OFFSET(CD14,0,-2)-OFFSET(CD14,0,-1)
))))</f>
        <v>-</v>
      </c>
      <c r="CE14" s="57" t="str">
        <f>IF($H14=リスト!$AA$4,"-",
 IF($C14="-","-",
  IF(CD$4&gt;$P14,"-",
   CHOOSE(MATCH($H$3,リスト!$AE$3:$AE$5,0),
    ROUNDUP(
      CD14*IF(CD14*$I14&lt;=$L14,$J14,$I14)*
      IF($P14=1,
         $S14/12,
         IF(CD$4=1,
            $T14/12,
            IF(CD$4=$P14,
               $U14/12,
               1
      ))),0),
    ROUNDDOWN(
      CD14*IF(CD14*$I14&lt;=$L14,$J14,$I14)*
      IF($P14=1,
         $S14/12,
         IF(CD$4=1,
            $T14/12,
            IF(CD$4=$P14,
               $U14/12,
               1
      ))),0),
    ROUND(
      CD14*IF(CD14*$I14&lt;=$L14,$J14,$I14)*
      IF($P14=1,
         $S14/12,
         IF(CD$4=1,
            $T14/12,
            IF(CD$4=$P14,
               $U14/12,
               1
      ))),0)
))))</f>
        <v>-</v>
      </c>
      <c r="CF14" s="56" t="str">
        <f ca="1">IF($H14=リスト!$AA$4,"-",
   IF($C14="-","-",
     IF(CF$4&gt;$P14,"-",
       IF(CF$4=1,$E14,OFFSET(CF14,0,-2)-OFFSET(CF14,0,-1)
))))</f>
        <v>-</v>
      </c>
      <c r="CG14" s="57" t="str">
        <f>IF($H14=リスト!$AA$4,"-",
 IF($C14="-","-",
  IF(CF$4&gt;$P14,"-",
   CHOOSE(MATCH($H$3,リスト!$AE$3:$AE$5,0),
    ROUNDUP(
      CF14*IF(CF14*$I14&lt;=$L14,$J14,$I14)*
      IF($P14=1,
         $S14/12,
         IF(CF$4=1,
            $T14/12,
            IF(CF$4=$P14,
               $U14/12,
               1
      ))),0),
    ROUNDDOWN(
      CF14*IF(CF14*$I14&lt;=$L14,$J14,$I14)*
      IF($P14=1,
         $S14/12,
         IF(CF$4=1,
            $T14/12,
            IF(CF$4=$P14,
               $U14/12,
               1
      ))),0),
    ROUND(
      CF14*IF(CF14*$I14&lt;=$L14,$J14,$I14)*
      IF($P14=1,
         $S14/12,
         IF(CF$4=1,
            $T14/12,
            IF(CF$4=$P14,
               $U14/12,
               1
      ))),0)
))))</f>
        <v>-</v>
      </c>
      <c r="CH14" s="56" t="str">
        <f ca="1">IF($H14=リスト!$AA$4,"-",
   IF($C14="-","-",
     IF(CH$4&gt;$P14,"-",
       IF(CH$4=1,$E14,OFFSET(CH14,0,-2)-OFFSET(CH14,0,-1)
))))</f>
        <v>-</v>
      </c>
      <c r="CI14" s="57" t="str">
        <f>IF($H14=リスト!$AA$4,"-",
 IF($C14="-","-",
  IF(CH$4&gt;$P14,"-",
   CHOOSE(MATCH($H$3,リスト!$AE$3:$AE$5,0),
    ROUNDUP(
      CH14*IF(CH14*$I14&lt;=$L14,$J14,$I14)*
      IF($P14=1,
         $S14/12,
         IF(CH$4=1,
            $T14/12,
            IF(CH$4=$P14,
               $U14/12,
               1
      ))),0),
    ROUNDDOWN(
      CH14*IF(CH14*$I14&lt;=$L14,$J14,$I14)*
      IF($P14=1,
         $S14/12,
         IF(CH$4=1,
            $T14/12,
            IF(CH$4=$P14,
               $U14/12,
               1
      ))),0),
    ROUND(
      CH14*IF(CH14*$I14&lt;=$L14,$J14,$I14)*
      IF($P14=1,
         $S14/12,
         IF(CH$4=1,
            $T14/12,
            IF(CH$4=$P14,
               $U14/12,
               1
      ))),0)
))))</f>
        <v>-</v>
      </c>
      <c r="CJ14" s="56" t="str">
        <f ca="1">IF($H14=リスト!$AA$4,"-",
   IF($C14="-","-",
     IF(CJ$4&gt;$P14,"-",
       IF(CJ$4=1,$E14,OFFSET(CJ14,0,-2)-OFFSET(CJ14,0,-1)
))))</f>
        <v>-</v>
      </c>
      <c r="CK14" s="57" t="str">
        <f>IF($H14=リスト!$AA$4,"-",
 IF($C14="-","-",
  IF(CJ$4&gt;$P14,"-",
   CHOOSE(MATCH($H$3,リスト!$AE$3:$AE$5,0),
    ROUNDUP(
      CJ14*IF(CJ14*$I14&lt;=$L14,$J14,$I14)*
      IF($P14=1,
         $S14/12,
         IF(CJ$4=1,
            $T14/12,
            IF(CJ$4=$P14,
               $U14/12,
               1
      ))),0),
    ROUNDDOWN(
      CJ14*IF(CJ14*$I14&lt;=$L14,$J14,$I14)*
      IF($P14=1,
         $S14/12,
         IF(CJ$4=1,
            $T14/12,
            IF(CJ$4=$P14,
               $U14/12,
               1
      ))),0),
    ROUND(
      CJ14*IF(CJ14*$I14&lt;=$L14,$J14,$I14)*
      IF($P14=1,
         $S14/12,
         IF(CJ$4=1,
            $T14/12,
            IF(CJ$4=$P14,
               $U14/12,
               1
      ))),0)
))))</f>
        <v>-</v>
      </c>
      <c r="CL14" s="56" t="str">
        <f ca="1">IF($H14=リスト!$AA$4,"-",
   IF($C14="-","-",
     IF(CL$4&gt;$P14,"-",
       IF(CL$4=1,$E14,OFFSET(CL14,0,-2)-OFFSET(CL14,0,-1)
))))</f>
        <v>-</v>
      </c>
      <c r="CM14" s="57" t="str">
        <f>IF($H14=リスト!$AA$4,"-",
 IF($C14="-","-",
  IF(CL$4&gt;$P14,"-",
   CHOOSE(MATCH($H$3,リスト!$AE$3:$AE$5,0),
    ROUNDUP(
      CL14*IF(CL14*$I14&lt;=$L14,$J14,$I14)*
      IF($P14=1,
         $S14/12,
         IF(CL$4=1,
            $T14/12,
            IF(CL$4=$P14,
               $U14/12,
               1
      ))),0),
    ROUNDDOWN(
      CL14*IF(CL14*$I14&lt;=$L14,$J14,$I14)*
      IF($P14=1,
         $S14/12,
         IF(CL$4=1,
            $T14/12,
            IF(CL$4=$P14,
               $U14/12,
               1
      ))),0),
    ROUND(
      CL14*IF(CL14*$I14&lt;=$L14,$J14,$I14)*
      IF($P14=1,
         $S14/12,
         IF(CL$4=1,
            $T14/12,
            IF(CL$4=$P14,
               $U14/12,
               1
      ))),0)
))))</f>
        <v>-</v>
      </c>
      <c r="CN14" s="56" t="str">
        <f ca="1">IF($H14=リスト!$AA$4,"-",
   IF($C14="-","-",
     IF(CN$4&gt;$P14,"-",
       IF(CN$4=1,$E14,OFFSET(CN14,0,-2)-OFFSET(CN14,0,-1)
))))</f>
        <v>-</v>
      </c>
      <c r="CO14" s="57" t="str">
        <f>IF($H14=リスト!$AA$4,"-",
 IF($C14="-","-",
  IF(CN$4&gt;$P14,"-",
   CHOOSE(MATCH($H$3,リスト!$AE$3:$AE$5,0),
    ROUNDUP(
      CN14*IF(CN14*$I14&lt;=$L14,$J14,$I14)*
      IF($P14=1,
         $S14/12,
         IF(CN$4=1,
            $T14/12,
            IF(CN$4=$P14,
               $U14/12,
               1
      ))),0),
    ROUNDDOWN(
      CN14*IF(CN14*$I14&lt;=$L14,$J14,$I14)*
      IF($P14=1,
         $S14/12,
         IF(CN$4=1,
            $T14/12,
            IF(CN$4=$P14,
               $U14/12,
               1
      ))),0),
    ROUND(
      CN14*IF(CN14*$I14&lt;=$L14,$J14,$I14)*
      IF($P14=1,
         $S14/12,
         IF(CN$4=1,
            $T14/12,
            IF(CN$4=$P14,
               $U14/12,
               1
      ))),0)
))))</f>
        <v>-</v>
      </c>
      <c r="CP14" s="56" t="str">
        <f ca="1">IF($H14=リスト!$AA$4,"-",
   IF($C14="-","-",
     IF(CP$4&gt;$P14,"-",
       IF(CP$4=1,$E14,OFFSET(CP14,0,-2)-OFFSET(CP14,0,-1)
))))</f>
        <v>-</v>
      </c>
      <c r="CQ14" s="57" t="str">
        <f>IF($H14=リスト!$AA$4,"-",
 IF($C14="-","-",
  IF(CP$4&gt;$P14,"-",
   CHOOSE(MATCH($H$3,リスト!$AE$3:$AE$5,0),
    ROUNDUP(
      CP14*IF(CP14*$I14&lt;=$L14,$J14,$I14)*
      IF($P14=1,
         $S14/12,
         IF(CP$4=1,
            $T14/12,
            IF(CP$4=$P14,
               $U14/12,
               1
      ))),0),
    ROUNDDOWN(
      CP14*IF(CP14*$I14&lt;=$L14,$J14,$I14)*
      IF($P14=1,
         $S14/12,
         IF(CP$4=1,
            $T14/12,
            IF(CP$4=$P14,
               $U14/12,
               1
      ))),0),
    ROUND(
      CP14*IF(CP14*$I14&lt;=$L14,$J14,$I14)*
      IF($P14=1,
         $S14/12,
         IF(CP$4=1,
            $T14/12,
            IF(CP$4=$P14,
               $U14/12,
               1
      ))),0)
))))</f>
        <v>-</v>
      </c>
      <c r="CR14" s="56" t="str">
        <f ca="1">IF($H14=リスト!$AA$4,"-",
   IF($C14="-","-",
     IF(CR$4&gt;$P14,"-",
       IF(CR$4=1,$E14,OFFSET(CR14,0,-2)-OFFSET(CR14,0,-1)
))))</f>
        <v>-</v>
      </c>
      <c r="CS14" s="57" t="str">
        <f>IF($H14=リスト!$AA$4,"-",
 IF($C14="-","-",
  IF(CR$4&gt;$P14,"-",
   CHOOSE(MATCH($H$3,リスト!$AE$3:$AE$5,0),
    ROUNDUP(
      CR14*IF(CR14*$I14&lt;=$L14,$J14,$I14)*
      IF($P14=1,
         $S14/12,
         IF(CR$4=1,
            $T14/12,
            IF(CR$4=$P14,
               $U14/12,
               1
      ))),0),
    ROUNDDOWN(
      CR14*IF(CR14*$I14&lt;=$L14,$J14,$I14)*
      IF($P14=1,
         $S14/12,
         IF(CR$4=1,
            $T14/12,
            IF(CR$4=$P14,
               $U14/12,
               1
      ))),0),
    ROUND(
      CR14*IF(CR14*$I14&lt;=$L14,$J14,$I14)*
      IF($P14=1,
         $S14/12,
         IF(CR$4=1,
            $T14/12,
            IF(CR$4=$P14,
               $U14/12,
               1
      ))),0)
))))</f>
        <v>-</v>
      </c>
      <c r="CT14" s="56" t="str">
        <f ca="1">IF($H14=リスト!$AA$4,"-",
   IF($C14="-","-",
     IF(CT$4&gt;$P14,"-",
       IF(CT$4=1,$E14,OFFSET(CT14,0,-2)-OFFSET(CT14,0,-1)
))))</f>
        <v>-</v>
      </c>
      <c r="CU14" s="57" t="str">
        <f>IF($H14=リスト!$AA$4,"-",
 IF($C14="-","-",
  IF(CT$4&gt;$P14,"-",
   CHOOSE(MATCH($H$3,リスト!$AE$3:$AE$5,0),
    ROUNDUP(
      CT14*IF(CT14*$I14&lt;=$L14,$J14,$I14)*
      IF($P14=1,
         $S14/12,
         IF(CT$4=1,
            $T14/12,
            IF(CT$4=$P14,
               $U14/12,
               1
      ))),0),
    ROUNDDOWN(
      CT14*IF(CT14*$I14&lt;=$L14,$J14,$I14)*
      IF($P14=1,
         $S14/12,
         IF(CT$4=1,
            $T14/12,
            IF(CT$4=$P14,
               $U14/12,
               1
      ))),0),
    ROUND(
      CT14*IF(CT14*$I14&lt;=$L14,$J14,$I14)*
      IF($P14=1,
         $S14/12,
         IF(CT$4=1,
            $T14/12,
            IF(CT$4=$P14,
               $U14/12,
               1
      ))),0)
))))</f>
        <v>-</v>
      </c>
      <c r="CV14" s="56" t="str">
        <f ca="1">IF($H14=リスト!$AA$4,"-",
   IF($C14="-","-",
     IF(CV$4&gt;$P14,"-",
       IF(CV$4=1,$E14,OFFSET(CV14,0,-2)-OFFSET(CV14,0,-1)
))))</f>
        <v>-</v>
      </c>
      <c r="CW14" s="57" t="str">
        <f>IF($H14=リスト!$AA$4,"-",
 IF($C14="-","-",
  IF(CV$4&gt;$P14,"-",
   CHOOSE(MATCH($H$3,リスト!$AE$3:$AE$5,0),
    ROUNDUP(
      CV14*IF(CV14*$I14&lt;=$L14,$J14,$I14)*
      IF($P14=1,
         $S14/12,
         IF(CV$4=1,
            $T14/12,
            IF(CV$4=$P14,
               $U14/12,
               1
      ))),0),
    ROUNDDOWN(
      CV14*IF(CV14*$I14&lt;=$L14,$J14,$I14)*
      IF($P14=1,
         $S14/12,
         IF(CV$4=1,
            $T14/12,
            IF(CV$4=$P14,
               $U14/12,
               1
      ))),0),
    ROUND(
      CV14*IF(CV14*$I14&lt;=$L14,$J14,$I14)*
      IF($P14=1,
         $S14/12,
         IF(CV$4=1,
            $T14/12,
            IF(CV$4=$P14,
               $U14/12,
               1
      ))),0)
))))</f>
        <v>-</v>
      </c>
      <c r="CX14" s="56" t="str">
        <f ca="1">IF($H14=リスト!$AA$4,"-",
   IF($C14="-","-",
     IF(CX$4&gt;$P14,"-",
       IF(CX$4=1,$E14,OFFSET(CX14,0,-2)-OFFSET(CX14,0,-1)
))))</f>
        <v>-</v>
      </c>
      <c r="CY14" s="57" t="str">
        <f>IF($H14=リスト!$AA$4,"-",
 IF($C14="-","-",
  IF(CX$4&gt;$P14,"-",
   CHOOSE(MATCH($H$3,リスト!$AE$3:$AE$5,0),
    ROUNDUP(
      CX14*IF(CX14*$I14&lt;=$L14,$J14,$I14)*
      IF($P14=1,
         $S14/12,
         IF(CX$4=1,
            $T14/12,
            IF(CX$4=$P14,
               $U14/12,
               1
      ))),0),
    ROUNDDOWN(
      CX14*IF(CX14*$I14&lt;=$L14,$J14,$I14)*
      IF($P14=1,
         $S14/12,
         IF(CX$4=1,
            $T14/12,
            IF(CX$4=$P14,
               $U14/12,
               1
      ))),0),
    ROUND(
      CX14*IF(CX14*$I14&lt;=$L14,$J14,$I14)*
      IF($P14=1,
         $S14/12,
         IF(CX$4=1,
            $T14/12,
            IF(CX$4=$P14,
               $U14/12,
               1
      ))),0)
))))</f>
        <v>-</v>
      </c>
      <c r="CZ14" s="56" t="str">
        <f ca="1">IF($H14=リスト!$AA$4,"-",
   IF($C14="-","-",
     IF(CZ$4&gt;$P14,"-",
       IF(CZ$4=1,$E14,OFFSET(CZ14,0,-2)-OFFSET(CZ14,0,-1)
))))</f>
        <v>-</v>
      </c>
      <c r="DA14" s="57" t="str">
        <f>IF($H14=リスト!$AA$4,"-",
 IF($C14="-","-",
  IF(CZ$4&gt;$P14,"-",
   CHOOSE(MATCH($H$3,リスト!$AE$3:$AE$5,0),
    ROUNDUP(
      CZ14*IF(CZ14*$I14&lt;=$L14,$J14,$I14)*
      IF($P14=1,
         $S14/12,
         IF(CZ$4=1,
            $T14/12,
            IF(CZ$4=$P14,
               $U14/12,
               1
      ))),0),
    ROUNDDOWN(
      CZ14*IF(CZ14*$I14&lt;=$L14,$J14,$I14)*
      IF($P14=1,
         $S14/12,
         IF(CZ$4=1,
            $T14/12,
            IF(CZ$4=$P14,
               $U14/12,
               1
      ))),0),
    ROUND(
      CZ14*IF(CZ14*$I14&lt;=$L14,$J14,$I14)*
      IF($P14=1,
         $S14/12,
         IF(CZ$4=1,
            $T14/12,
            IF(CZ$4=$P14,
               $U14/12,
               1
      ))),0)
))))</f>
        <v>-</v>
      </c>
      <c r="DB14" s="56" t="str">
        <f ca="1">IF($H14=リスト!$AA$4,"-",
   IF($C14="-","-",
     IF(DB$4&gt;$P14,"-",
       IF(DB$4=1,$E14,OFFSET(DB14,0,-2)-OFFSET(DB14,0,-1)
))))</f>
        <v>-</v>
      </c>
      <c r="DC14" s="57" t="str">
        <f>IF($H14=リスト!$AA$4,"-",
 IF($C14="-","-",
  IF(DB$4&gt;$P14,"-",
   CHOOSE(MATCH($H$3,リスト!$AE$3:$AE$5,0),
    ROUNDUP(
      DB14*IF(DB14*$I14&lt;=$L14,$J14,$I14)*
      IF($P14=1,
         $S14/12,
         IF(DB$4=1,
            $T14/12,
            IF(DB$4=$P14,
               $U14/12,
               1
      ))),0),
    ROUNDDOWN(
      DB14*IF(DB14*$I14&lt;=$L14,$J14,$I14)*
      IF($P14=1,
         $S14/12,
         IF(DB$4=1,
            $T14/12,
            IF(DB$4=$P14,
               $U14/12,
               1
      ))),0),
    ROUND(
      DB14*IF(DB14*$I14&lt;=$L14,$J14,$I14)*
      IF($P14=1,
         $S14/12,
         IF(DB$4=1,
            $T14/12,
            IF(DB$4=$P14,
               $U14/12,
               1
      ))),0)
))))</f>
        <v>-</v>
      </c>
      <c r="DD14" s="56" t="str">
        <f ca="1">IF($H14=リスト!$AA$4,"-",
   IF($C14="-","-",
     IF(DD$4&gt;$P14,"-",
       IF(DD$4=1,$E14,OFFSET(DD14,0,-2)-OFFSET(DD14,0,-1)
))))</f>
        <v>-</v>
      </c>
      <c r="DE14" s="57" t="str">
        <f>IF($H14=リスト!$AA$4,"-",
 IF($C14="-","-",
  IF(DD$4&gt;$P14,"-",
   CHOOSE(MATCH($H$3,リスト!$AE$3:$AE$5,0),
    ROUNDUP(
      DD14*IF(DD14*$I14&lt;=$L14,$J14,$I14)*
      IF($P14=1,
         $S14/12,
         IF(DD$4=1,
            $T14/12,
            IF(DD$4=$P14,
               $U14/12,
               1
      ))),0),
    ROUNDDOWN(
      DD14*IF(DD14*$I14&lt;=$L14,$J14,$I14)*
      IF($P14=1,
         $S14/12,
         IF(DD$4=1,
            $T14/12,
            IF(DD$4=$P14,
               $U14/12,
               1
      ))),0),
    ROUND(
      DD14*IF(DD14*$I14&lt;=$L14,$J14,$I14)*
      IF($P14=1,
         $S14/12,
         IF(DD$4=1,
            $T14/12,
            IF(DD$4=$P14,
               $U14/12,
               1
      ))),0)
))))</f>
        <v>-</v>
      </c>
      <c r="DF14" s="56" t="str">
        <f ca="1">IF($H14=リスト!$AA$4,"-",
   IF($C14="-","-",
     IF(DF$4&gt;$P14,"-",
       IF(DF$4=1,$E14,OFFSET(DF14,0,-2)-OFFSET(DF14,0,-1)
))))</f>
        <v>-</v>
      </c>
      <c r="DG14" s="57" t="str">
        <f>IF($H14=リスト!$AA$4,"-",
 IF($C14="-","-",
  IF(DF$4&gt;$P14,"-",
   CHOOSE(MATCH($H$3,リスト!$AE$3:$AE$5,0),
    ROUNDUP(
      DF14*IF(DF14*$I14&lt;=$L14,$J14,$I14)*
      IF($P14=1,
         $S14/12,
         IF(DF$4=1,
            $T14/12,
            IF(DF$4=$P14,
               $U14/12,
               1
      ))),0),
    ROUNDDOWN(
      DF14*IF(DF14*$I14&lt;=$L14,$J14,$I14)*
      IF($P14=1,
         $S14/12,
         IF(DF$4=1,
            $T14/12,
            IF(DF$4=$P14,
               $U14/12,
               1
      ))),0),
    ROUND(
      DF14*IF(DF14*$I14&lt;=$L14,$J14,$I14)*
      IF($P14=1,
         $S14/12,
         IF(DF$4=1,
            $T14/12,
            IF(DF$4=$P14,
               $U14/12,
               1
      ))),0)
))))</f>
        <v>-</v>
      </c>
      <c r="DH14" s="56" t="str">
        <f ca="1">IF($H14=リスト!$AA$4,"-",
   IF($C14="-","-",
     IF(DH$4&gt;$P14,"-",
       IF(DH$4=1,$E14,OFFSET(DH14,0,-2)-OFFSET(DH14,0,-1)
))))</f>
        <v>-</v>
      </c>
      <c r="DI14" s="57" t="str">
        <f>IF($H14=リスト!$AA$4,"-",
 IF($C14="-","-",
  IF(DH$4&gt;$P14,"-",
   CHOOSE(MATCH($H$3,リスト!$AE$3:$AE$5,0),
    ROUNDUP(
      DH14*IF(DH14*$I14&lt;=$L14,$J14,$I14)*
      IF($P14=1,
         $S14/12,
         IF(DH$4=1,
            $T14/12,
            IF(DH$4=$P14,
               $U14/12,
               1
      ))),0),
    ROUNDDOWN(
      DH14*IF(DH14*$I14&lt;=$L14,$J14,$I14)*
      IF($P14=1,
         $S14/12,
         IF(DH$4=1,
            $T14/12,
            IF(DH$4=$P14,
               $U14/12,
               1
      ))),0),
    ROUND(
      DH14*IF(DH14*$I14&lt;=$L14,$J14,$I14)*
      IF($P14=1,
         $S14/12,
         IF(DH$4=1,
            $T14/12,
            IF(DH$4=$P14,
               $U14/12,
               1
      ))),0)
))))</f>
        <v>-</v>
      </c>
      <c r="DJ14" s="56" t="str">
        <f ca="1">IF($H14=リスト!$AA$4,"-",
   IF($C14="-","-",
     IF(DJ$4&gt;$P14,"-",
       IF(DJ$4=1,$E14,OFFSET(DJ14,0,-2)-OFFSET(DJ14,0,-1)
))))</f>
        <v>-</v>
      </c>
      <c r="DK14" s="57" t="str">
        <f>IF($H14=リスト!$AA$4,"-",
 IF($C14="-","-",
  IF(DJ$4&gt;$P14,"-",
   CHOOSE(MATCH($H$3,リスト!$AE$3:$AE$5,0),
    ROUNDUP(
      DJ14*IF(DJ14*$I14&lt;=$L14,$J14,$I14)*
      IF($P14=1,
         $S14/12,
         IF(DJ$4=1,
            $T14/12,
            IF(DJ$4=$P14,
               $U14/12,
               1
      ))),0),
    ROUNDDOWN(
      DJ14*IF(DJ14*$I14&lt;=$L14,$J14,$I14)*
      IF($P14=1,
         $S14/12,
         IF(DJ$4=1,
            $T14/12,
            IF(DJ$4=$P14,
               $U14/12,
               1
      ))),0),
    ROUND(
      DJ14*IF(DJ14*$I14&lt;=$L14,$J14,$I14)*
      IF($P14=1,
         $S14/12,
         IF(DJ$4=1,
            $T14/12,
            IF(DJ$4=$P14,
               $U14/12,
               1
      ))),0)
))))</f>
        <v>-</v>
      </c>
      <c r="DL14" s="56" t="str">
        <f ca="1">IF($H14=リスト!$AA$4,"-",
   IF($C14="-","-",
     IF(DL$4&gt;$P14,"-",
       IF(DL$4=1,$E14,OFFSET(DL14,0,-2)-OFFSET(DL14,0,-1)
))))</f>
        <v>-</v>
      </c>
      <c r="DM14" s="57" t="str">
        <f>IF($H14=リスト!$AA$4,"-",
 IF($C14="-","-",
  IF(DL$4&gt;$P14,"-",
   CHOOSE(MATCH($H$3,リスト!$AE$3:$AE$5,0),
    ROUNDUP(
      DL14*IF(DL14*$I14&lt;=$L14,$J14,$I14)*
      IF($P14=1,
         $S14/12,
         IF(DL$4=1,
            $T14/12,
            IF(DL$4=$P14,
               $U14/12,
               1
      ))),0),
    ROUNDDOWN(
      DL14*IF(DL14*$I14&lt;=$L14,$J14,$I14)*
      IF($P14=1,
         $S14/12,
         IF(DL$4=1,
            $T14/12,
            IF(DL$4=$P14,
               $U14/12,
               1
      ))),0),
    ROUND(
      DL14*IF(DL14*$I14&lt;=$L14,$J14,$I14)*
      IF($P14=1,
         $S14/12,
         IF(DL$4=1,
            $T14/12,
            IF(DL$4=$P14,
               $U14/12,
               1
      ))),0)
))))</f>
        <v>-</v>
      </c>
      <c r="DN14" s="56" t="str">
        <f ca="1">IF($H14=リスト!$AA$4,"-",
   IF($C14="-","-",
     IF(DN$4&gt;$P14,"-",
       IF(DN$4=1,$E14,OFFSET(DN14,0,-2)-OFFSET(DN14,0,-1)
))))</f>
        <v>-</v>
      </c>
      <c r="DO14" s="57" t="str">
        <f>IF($H14=リスト!$AA$4,"-",
 IF($C14="-","-",
  IF(DN$4&gt;$P14,"-",
   CHOOSE(MATCH($H$3,リスト!$AE$3:$AE$5,0),
    ROUNDUP(
      DN14*IF(DN14*$I14&lt;=$L14,$J14,$I14)*
      IF($P14=1,
         $S14/12,
         IF(DN$4=1,
            $T14/12,
            IF(DN$4=$P14,
               $U14/12,
               1
      ))),0),
    ROUNDDOWN(
      DN14*IF(DN14*$I14&lt;=$L14,$J14,$I14)*
      IF($P14=1,
         $S14/12,
         IF(DN$4=1,
            $T14/12,
            IF(DN$4=$P14,
               $U14/12,
               1
      ))),0),
    ROUND(
      DN14*IF(DN14*$I14&lt;=$L14,$J14,$I14)*
      IF($P14=1,
         $S14/12,
         IF(DN$4=1,
            $T14/12,
            IF(DN$4=$P14,
               $U14/12,
               1
      ))),0)
))))</f>
        <v>-</v>
      </c>
      <c r="DP14" s="56" t="str">
        <f ca="1">IF($H14=リスト!$AA$4,"-",
   IF($C14="-","-",
     IF(DP$4&gt;$P14,"-",
       IF(DP$4=1,$E14,OFFSET(DP14,0,-2)-OFFSET(DP14,0,-1)
))))</f>
        <v>-</v>
      </c>
      <c r="DQ14" s="57" t="str">
        <f>IF($H14=リスト!$AA$4,"-",
 IF($C14="-","-",
  IF(DP$4&gt;$P14,"-",
   CHOOSE(MATCH($H$3,リスト!$AE$3:$AE$5,0),
    ROUNDUP(
      DP14*IF(DP14*$I14&lt;=$L14,$J14,$I14)*
      IF($P14=1,
         $S14/12,
         IF(DP$4=1,
            $T14/12,
            IF(DP$4=$P14,
               $U14/12,
               1
      ))),0),
    ROUNDDOWN(
      DP14*IF(DP14*$I14&lt;=$L14,$J14,$I14)*
      IF($P14=1,
         $S14/12,
         IF(DP$4=1,
            $T14/12,
            IF(DP$4=$P14,
               $U14/12,
               1
      ))),0),
    ROUND(
      DP14*IF(DP14*$I14&lt;=$L14,$J14,$I14)*
      IF($P14=1,
         $S14/12,
         IF(DP$4=1,
            $T14/12,
            IF(DP$4=$P14,
               $U14/12,
               1
      ))),0)
))))</f>
        <v>-</v>
      </c>
      <c r="DR14" s="56" t="str">
        <f ca="1">IF($H14=リスト!$AA$4,"-",
   IF($C14="-","-",
     IF(DR$4&gt;$P14,"-",
       IF(DR$4=1,$E14,OFFSET(DR14,0,-2)-OFFSET(DR14,0,-1)
))))</f>
        <v>-</v>
      </c>
      <c r="DS14" s="57" t="str">
        <f>IF($H14=リスト!$AA$4,"-",
 IF($C14="-","-",
  IF(DR$4&gt;$P14,"-",
   CHOOSE(MATCH($H$3,リスト!$AE$3:$AE$5,0),
    ROUNDUP(
      DR14*IF(DR14*$I14&lt;=$L14,$J14,$I14)*
      IF($P14=1,
         $S14/12,
         IF(DR$4=1,
            $T14/12,
            IF(DR$4=$P14,
               $U14/12,
               1
      ))),0),
    ROUNDDOWN(
      DR14*IF(DR14*$I14&lt;=$L14,$J14,$I14)*
      IF($P14=1,
         $S14/12,
         IF(DR$4=1,
            $T14/12,
            IF(DR$4=$P14,
               $U14/12,
               1
      ))),0),
    ROUND(
      DR14*IF(DR14*$I14&lt;=$L14,$J14,$I14)*
      IF($P14=1,
         $S14/12,
         IF(DR$4=1,
            $T14/12,
            IF(DR$4=$P14,
               $U14/12,
               1
      ))),0)
))))</f>
        <v>-</v>
      </c>
      <c r="DT14" s="56" t="str" cm="1">
        <f t="array" ref="DT14">IF($H14&lt;&gt;リスト!$AA$3,"-",$E14-SUMPRODUCT(IFERROR($Y14:$DS14*1,0), --(MOD(COLUMN($Y14:$DS14)-COLUMN($Y14),2)=0)))</f>
        <v>-</v>
      </c>
      <c r="DU14" s="56" t="str">
        <f>IF($H14&lt;&gt;リスト!$AA$4,"-",
    IF($H$3=リスト!$AE$3,$E14-ROUNDUP($E14*I14*$W14/12,0),
    IF($H$3=リスト!$AE$4,$E14-ROUNDDOWN($E14*I14*$W14/12,0),
    IF($H$3=リスト!$AE$5,$E14-ROUND($E14*I14*$W14/12,0),
    "-"))))</f>
        <v>-</v>
      </c>
    </row>
    <row r="15" spans="2:125">
      <c r="B15" s="54">
        <v>10</v>
      </c>
      <c r="C15" s="55" t="str">
        <f>IF(財産処分報告用!$C15="","-",財産処分報告用!$C15)</f>
        <v>-</v>
      </c>
      <c r="D15" s="55" t="str">
        <f>財産処分報告用!$E15</f>
        <v>-</v>
      </c>
      <c r="E15" s="56" t="str">
        <f>IF(財産処分報告用!$J15="","-",財産処分報告用!$J15)</f>
        <v>-</v>
      </c>
      <c r="F15" s="101" t="str">
        <f>IF(財産処分報告用!$K15="","-",財産処分報告用!$K15)</f>
        <v>-</v>
      </c>
      <c r="G15" s="101" t="str">
        <f>IF(財産処分報告用!$L15="","-",財産処分報告用!$L15)</f>
        <v>-</v>
      </c>
      <c r="H15" s="55" t="str">
        <f>IF(財産処分報告用!$M15="","-",財産処分報告用!$M15)</f>
        <v>-</v>
      </c>
      <c r="I15" s="55" t="str">
        <f>IF(OR($D15="-",$H15="-"),"-",INDEX(リスト!$AG$2:$AI$101,MATCH($D15,リスト!$AG$2:$AG$101,0),MATCH($H15,リスト!$AG$2:$AI$2,0)))</f>
        <v>-</v>
      </c>
      <c r="J15" s="55" t="str">
        <f>IF(OR($D15="-",$H15="-"),"-",IF($H15=リスト!$AA$4,"-",INDEX(リスト!$AG$2:$AK$101,MATCH($D15,リスト!$AG$2:$AG$101,0),4)))</f>
        <v>-</v>
      </c>
      <c r="K15" s="55" t="str">
        <f>IF(OR($D15="-",$H15="-"),"-",IF($H15=リスト!$AA$4,"-",INDEX(リスト!$AG$2:$AK$101,MATCH($D15,リスト!$AG$2:$AG$101,0),5)))</f>
        <v>-</v>
      </c>
      <c r="L15" s="55" t="str">
        <f t="shared" si="0"/>
        <v>-</v>
      </c>
      <c r="M15" s="101" t="str">
        <f t="shared" si="1"/>
        <v>-</v>
      </c>
      <c r="N15" s="101" t="str">
        <f t="shared" si="2"/>
        <v>-</v>
      </c>
      <c r="O15" s="101" t="str">
        <f t="shared" si="3"/>
        <v>-</v>
      </c>
      <c r="P15" s="102" t="str">
        <f t="shared" si="4"/>
        <v>-</v>
      </c>
      <c r="Q15" s="115" t="str">
        <f t="shared" si="5"/>
        <v>-</v>
      </c>
      <c r="R15" s="116" t="str">
        <f t="shared" si="6"/>
        <v>-</v>
      </c>
      <c r="S15" s="102" t="str">
        <f t="shared" si="7"/>
        <v>-</v>
      </c>
      <c r="T15" s="102" t="str">
        <f t="shared" si="8"/>
        <v>-</v>
      </c>
      <c r="U15" s="102" t="str">
        <f t="shared" si="9"/>
        <v>-</v>
      </c>
      <c r="V15" s="102" t="str">
        <f t="shared" si="10"/>
        <v>-</v>
      </c>
      <c r="W15" s="55" t="str">
        <f t="shared" si="11"/>
        <v>-</v>
      </c>
      <c r="X15" s="56" t="str">
        <f ca="1">IF($H15=リスト!$AA$4,"-",
   IF($C15="-","-",
     IF(X$4&gt;$P15,"-",
       IF(X$4=1,$E15,OFFSET(X15,0,-2)-OFFSET(X15,0,-1)
))))</f>
        <v>-</v>
      </c>
      <c r="Y15" s="57" t="str">
        <f>IF($H15=リスト!$AA$4,"-",
 IF($C15="-","-",
  IF(X$4&gt;$P15,"-",
   CHOOSE(MATCH($H$3,リスト!$AE$3:$AE$5,0),
    ROUNDUP(
      X15*IF(X15*$I15&lt;=$L15,$J15,$I15)*
      IF($P15=1,
         $S15/12,
         IF(X$4=1,
            $T15/12,
            IF(X$4=$P15,
               $U15/12,
               1
      ))),0),
    ROUNDDOWN(
      X15*IF(X15*$I15&lt;=$L15,$J15,$I15)*
      IF($P15=1,
         $S15/12,
         IF(X$4=1,
            $T15/12,
            IF(X$4=$P15,
               $U15/12,
               1
      ))),0),
    ROUND(
      X15*IF(X15*$I15&lt;=$L15,$J15,$I15)*
      IF($P15=1,
         $S15/12,
         IF(X$4=1,
            $T15/12,
            IF(X$4=$P15,
               $U15/12,
               1
      ))),0)
))))</f>
        <v>-</v>
      </c>
      <c r="Z15" s="56" t="str">
        <f ca="1">IF($H15=リスト!$AA$4,"-",
   IF($C15="-","-",
     IF(Z$4&gt;$P15,"-",
       IF(Z$4=1,$E15,OFFSET(Z15,0,-2)-OFFSET(Z15,0,-1)
))))</f>
        <v>-</v>
      </c>
      <c r="AA15" s="57" t="str">
        <f>IF($H15=リスト!$AA$4,"-",
 IF($C15="-","-",
  IF(Z$4&gt;$P15,"-",
   CHOOSE(MATCH($H$3,リスト!$AE$3:$AE$5,0),
    ROUNDUP(
      Z15*IF(Z15*$I15&lt;=$L15,$J15,$I15)*
      IF($P15=1,
         $S15/12,
         IF(Z$4=1,
            $T15/12,
            IF(Z$4=$P15,
               $U15/12,
               1
      ))),0),
    ROUNDDOWN(
      Z15*IF(Z15*$I15&lt;=$L15,$J15,$I15)*
      IF($P15=1,
         $S15/12,
         IF(Z$4=1,
            $T15/12,
            IF(Z$4=$P15,
               $U15/12,
               1
      ))),0),
    ROUND(
      Z15*IF(Z15*$I15&lt;=$L15,$J15,$I15)*
      IF($P15=1,
         $S15/12,
         IF(Z$4=1,
            $T15/12,
            IF(Z$4=$P15,
               $U15/12,
               1
      ))),0)
))))</f>
        <v>-</v>
      </c>
      <c r="AB15" s="56" t="str">
        <f ca="1">IF($H15=リスト!$AA$4,"-",
   IF($C15="-","-",
     IF(AB$4&gt;$P15,"-",
       IF(AB$4=1,$E15,OFFSET(AB15,0,-2)-OFFSET(AB15,0,-1)
))))</f>
        <v>-</v>
      </c>
      <c r="AC15" s="57" t="str">
        <f>IF($H15=リスト!$AA$4,"-",
 IF($C15="-","-",
  IF(AB$4&gt;$P15,"-",
   CHOOSE(MATCH($H$3,リスト!$AE$3:$AE$5,0),
    ROUNDUP(
      AB15*IF(AB15*$I15&lt;=$L15,$J15,$I15)*
      IF($P15=1,
         $S15/12,
         IF(AB$4=1,
            $T15/12,
            IF(AB$4=$P15,
               $U15/12,
               1
      ))),0),
    ROUNDDOWN(
      AB15*IF(AB15*$I15&lt;=$L15,$J15,$I15)*
      IF($P15=1,
         $S15/12,
         IF(AB$4=1,
            $T15/12,
            IF(AB$4=$P15,
               $U15/12,
               1
      ))),0),
    ROUND(
      AB15*IF(AB15*$I15&lt;=$L15,$J15,$I15)*
      IF($P15=1,
         $S15/12,
         IF(AB$4=1,
            $T15/12,
            IF(AB$4=$P15,
               $U15/12,
               1
      ))),0)
))))</f>
        <v>-</v>
      </c>
      <c r="AD15" s="56" t="str">
        <f ca="1">IF($H15=リスト!$AA$4,"-",
   IF($C15="-","-",
     IF(AD$4&gt;$P15,"-",
       IF(AD$4=1,$E15,OFFSET(AD15,0,-2)-OFFSET(AD15,0,-1)
))))</f>
        <v>-</v>
      </c>
      <c r="AE15" s="57" t="str">
        <f>IF($H15=リスト!$AA$4,"-",
 IF($C15="-","-",
  IF(AD$4&gt;$P15,"-",
   CHOOSE(MATCH($H$3,リスト!$AE$3:$AE$5,0),
    ROUNDUP(
      AD15*IF(AD15*$I15&lt;=$L15,$J15,$I15)*
      IF($P15=1,
         $S15/12,
         IF(AD$4=1,
            $T15/12,
            IF(AD$4=$P15,
               $U15/12,
               1
      ))),0),
    ROUNDDOWN(
      AD15*IF(AD15*$I15&lt;=$L15,$J15,$I15)*
      IF($P15=1,
         $S15/12,
         IF(AD$4=1,
            $T15/12,
            IF(AD$4=$P15,
               $U15/12,
               1
      ))),0),
    ROUND(
      AD15*IF(AD15*$I15&lt;=$L15,$J15,$I15)*
      IF($P15=1,
         $S15/12,
         IF(AD$4=1,
            $T15/12,
            IF(AD$4=$P15,
               $U15/12,
               1
      ))),0)
))))</f>
        <v>-</v>
      </c>
      <c r="AF15" s="56" t="str">
        <f ca="1">IF($H15=リスト!$AA$4,"-",
   IF($C15="-","-",
     IF(AF$4&gt;$P15,"-",
       IF(AF$4=1,$E15,OFFSET(AF15,0,-2)-OFFSET(AF15,0,-1)
))))</f>
        <v>-</v>
      </c>
      <c r="AG15" s="57" t="str">
        <f>IF($H15=リスト!$AA$4,"-",
 IF($C15="-","-",
  IF(AF$4&gt;$P15,"-",
   CHOOSE(MATCH($H$3,リスト!$AE$3:$AE$5,0),
    ROUNDUP(
      AF15*IF(AF15*$I15&lt;=$L15,$J15,$I15)*
      IF($P15=1,
         $S15/12,
         IF(AF$4=1,
            $T15/12,
            IF(AF$4=$P15,
               $U15/12,
               1
      ))),0),
    ROUNDDOWN(
      AF15*IF(AF15*$I15&lt;=$L15,$J15,$I15)*
      IF($P15=1,
         $S15/12,
         IF(AF$4=1,
            $T15/12,
            IF(AF$4=$P15,
               $U15/12,
               1
      ))),0),
    ROUND(
      AF15*IF(AF15*$I15&lt;=$L15,$J15,$I15)*
      IF($P15=1,
         $S15/12,
         IF(AF$4=1,
            $T15/12,
            IF(AF$4=$P15,
               $U15/12,
               1
      ))),0)
))))</f>
        <v>-</v>
      </c>
      <c r="AH15" s="56" t="str">
        <f ca="1">IF($H15=リスト!$AA$4,"-",
   IF($C15="-","-",
     IF(AH$4&gt;$P15,"-",
       IF(AH$4=1,$E15,OFFSET(AH15,0,-2)-OFFSET(AH15,0,-1)
))))</f>
        <v>-</v>
      </c>
      <c r="AI15" s="57" t="str">
        <f>IF($H15=リスト!$AA$4,"-",
 IF($C15="-","-",
  IF(AH$4&gt;$P15,"-",
   CHOOSE(MATCH($H$3,リスト!$AE$3:$AE$5,0),
    ROUNDUP(
      AH15*IF(AH15*$I15&lt;=$L15,$J15,$I15)*
      IF($P15=1,
         $S15/12,
         IF(AH$4=1,
            $T15/12,
            IF(AH$4=$P15,
               $U15/12,
               1
      ))),0),
    ROUNDDOWN(
      AH15*IF(AH15*$I15&lt;=$L15,$J15,$I15)*
      IF($P15=1,
         $S15/12,
         IF(AH$4=1,
            $T15/12,
            IF(AH$4=$P15,
               $U15/12,
               1
      ))),0),
    ROUND(
      AH15*IF(AH15*$I15&lt;=$L15,$J15,$I15)*
      IF($P15=1,
         $S15/12,
         IF(AH$4=1,
            $T15/12,
            IF(AH$4=$P15,
               $U15/12,
               1
      ))),0)
))))</f>
        <v>-</v>
      </c>
      <c r="AJ15" s="56" t="str">
        <f ca="1">IF($H15=リスト!$AA$4,"-",
   IF($C15="-","-",
     IF(AJ$4&gt;$P15,"-",
       IF(AJ$4=1,$E15,OFFSET(AJ15,0,-2)-OFFSET(AJ15,0,-1)
))))</f>
        <v>-</v>
      </c>
      <c r="AK15" s="57" t="str">
        <f>IF($H15=リスト!$AA$4,"-",
 IF($C15="-","-",
  IF(AJ$4&gt;$P15,"-",
   CHOOSE(MATCH($H$3,リスト!$AE$3:$AE$5,0),
    ROUNDUP(
      AJ15*IF(AJ15*$I15&lt;=$L15,$J15,$I15)*
      IF($P15=1,
         $S15/12,
         IF(AJ$4=1,
            $T15/12,
            IF(AJ$4=$P15,
               $U15/12,
               1
      ))),0),
    ROUNDDOWN(
      AJ15*IF(AJ15*$I15&lt;=$L15,$J15,$I15)*
      IF($P15=1,
         $S15/12,
         IF(AJ$4=1,
            $T15/12,
            IF(AJ$4=$P15,
               $U15/12,
               1
      ))),0),
    ROUND(
      AJ15*IF(AJ15*$I15&lt;=$L15,$J15,$I15)*
      IF($P15=1,
         $S15/12,
         IF(AJ$4=1,
            $T15/12,
            IF(AJ$4=$P15,
               $U15/12,
               1
      ))),0)
))))</f>
        <v>-</v>
      </c>
      <c r="AL15" s="56" t="str">
        <f ca="1">IF($H15=リスト!$AA$4,"-",
   IF($C15="-","-",
     IF(AL$4&gt;$P15,"-",
       IF(AL$4=1,$E15,OFFSET(AL15,0,-2)-OFFSET(AL15,0,-1)
))))</f>
        <v>-</v>
      </c>
      <c r="AM15" s="57" t="str">
        <f>IF($H15=リスト!$AA$4,"-",
 IF($C15="-","-",
  IF(AL$4&gt;$P15,"-",
   CHOOSE(MATCH($H$3,リスト!$AE$3:$AE$5,0),
    ROUNDUP(
      AL15*IF(AL15*$I15&lt;=$L15,$J15,$I15)*
      IF($P15=1,
         $S15/12,
         IF(AL$4=1,
            $T15/12,
            IF(AL$4=$P15,
               $U15/12,
               1
      ))),0),
    ROUNDDOWN(
      AL15*IF(AL15*$I15&lt;=$L15,$J15,$I15)*
      IF($P15=1,
         $S15/12,
         IF(AL$4=1,
            $T15/12,
            IF(AL$4=$P15,
               $U15/12,
               1
      ))),0),
    ROUND(
      AL15*IF(AL15*$I15&lt;=$L15,$J15,$I15)*
      IF($P15=1,
         $S15/12,
         IF(AL$4=1,
            $T15/12,
            IF(AL$4=$P15,
               $U15/12,
               1
      ))),0)
))))</f>
        <v>-</v>
      </c>
      <c r="AN15" s="56" t="str">
        <f ca="1">IF($H15=リスト!$AA$4,"-",
   IF($C15="-","-",
     IF(AN$4&gt;$P15,"-",
       IF(AN$4=1,$E15,OFFSET(AN15,0,-2)-OFFSET(AN15,0,-1)
))))</f>
        <v>-</v>
      </c>
      <c r="AO15" s="57" t="str">
        <f>IF($H15=リスト!$AA$4,"-",
 IF($C15="-","-",
  IF(AN$4&gt;$P15,"-",
   CHOOSE(MATCH($H$3,リスト!$AE$3:$AE$5,0),
    ROUNDUP(
      AN15*IF(AN15*$I15&lt;=$L15,$J15,$I15)*
      IF($P15=1,
         $S15/12,
         IF(AN$4=1,
            $T15/12,
            IF(AN$4=$P15,
               $U15/12,
               1
      ))),0),
    ROUNDDOWN(
      AN15*IF(AN15*$I15&lt;=$L15,$J15,$I15)*
      IF($P15=1,
         $S15/12,
         IF(AN$4=1,
            $T15/12,
            IF(AN$4=$P15,
               $U15/12,
               1
      ))),0),
    ROUND(
      AN15*IF(AN15*$I15&lt;=$L15,$J15,$I15)*
      IF($P15=1,
         $S15/12,
         IF(AN$4=1,
            $T15/12,
            IF(AN$4=$P15,
               $U15/12,
               1
      ))),0)
))))</f>
        <v>-</v>
      </c>
      <c r="AP15" s="56" t="str">
        <f ca="1">IF($H15=リスト!$AA$4,"-",
   IF($C15="-","-",
     IF(AP$4&gt;$P15,"-",
       IF(AP$4=1,$E15,OFFSET(AP15,0,-2)-OFFSET(AP15,0,-1)
))))</f>
        <v>-</v>
      </c>
      <c r="AQ15" s="57" t="str">
        <f>IF($H15=リスト!$AA$4,"-",
 IF($C15="-","-",
  IF(AP$4&gt;$P15,"-",
   CHOOSE(MATCH($H$3,リスト!$AE$3:$AE$5,0),
    ROUNDUP(
      AP15*IF(AP15*$I15&lt;=$L15,$J15,$I15)*
      IF($P15=1,
         $S15/12,
         IF(AP$4=1,
            $T15/12,
            IF(AP$4=$P15,
               $U15/12,
               1
      ))),0),
    ROUNDDOWN(
      AP15*IF(AP15*$I15&lt;=$L15,$J15,$I15)*
      IF($P15=1,
         $S15/12,
         IF(AP$4=1,
            $T15/12,
            IF(AP$4=$P15,
               $U15/12,
               1
      ))),0),
    ROUND(
      AP15*IF(AP15*$I15&lt;=$L15,$J15,$I15)*
      IF($P15=1,
         $S15/12,
         IF(AP$4=1,
            $T15/12,
            IF(AP$4=$P15,
               $U15/12,
               1
      ))),0)
))))</f>
        <v>-</v>
      </c>
      <c r="AR15" s="56" t="str">
        <f ca="1">IF($H15=リスト!$AA$4,"-",
   IF($C15="-","-",
     IF(AR$4&gt;$P15,"-",
       IF(AR$4=1,$E15,OFFSET(AR15,0,-2)-OFFSET(AR15,0,-1)
))))</f>
        <v>-</v>
      </c>
      <c r="AS15" s="57" t="str">
        <f>IF($H15=リスト!$AA$4,"-",
 IF($C15="-","-",
  IF(AR$4&gt;$P15,"-",
   CHOOSE(MATCH($H$3,リスト!$AE$3:$AE$5,0),
    ROUNDUP(
      AR15*IF(AR15*$I15&lt;=$L15,$J15,$I15)*
      IF($P15=1,
         $S15/12,
         IF(AR$4=1,
            $T15/12,
            IF(AR$4=$P15,
               $U15/12,
               1
      ))),0),
    ROUNDDOWN(
      AR15*IF(AR15*$I15&lt;=$L15,$J15,$I15)*
      IF($P15=1,
         $S15/12,
         IF(AR$4=1,
            $T15/12,
            IF(AR$4=$P15,
               $U15/12,
               1
      ))),0),
    ROUND(
      AR15*IF(AR15*$I15&lt;=$L15,$J15,$I15)*
      IF($P15=1,
         $S15/12,
         IF(AR$4=1,
            $T15/12,
            IF(AR$4=$P15,
               $U15/12,
               1
      ))),0)
))))</f>
        <v>-</v>
      </c>
      <c r="AT15" s="56" t="str">
        <f ca="1">IF($H15=リスト!$AA$4,"-",
   IF($C15="-","-",
     IF(AT$4&gt;$P15,"-",
       IF(AT$4=1,$E15,OFFSET(AT15,0,-2)-OFFSET(AT15,0,-1)
))))</f>
        <v>-</v>
      </c>
      <c r="AU15" s="57" t="str">
        <f>IF($H15=リスト!$AA$4,"-",
 IF($C15="-","-",
  IF(AT$4&gt;$P15,"-",
   CHOOSE(MATCH($H$3,リスト!$AE$3:$AE$5,0),
    ROUNDUP(
      AT15*IF(AT15*$I15&lt;=$L15,$J15,$I15)*
      IF($P15=1,
         $S15/12,
         IF(AT$4=1,
            $T15/12,
            IF(AT$4=$P15,
               $U15/12,
               1
      ))),0),
    ROUNDDOWN(
      AT15*IF(AT15*$I15&lt;=$L15,$J15,$I15)*
      IF($P15=1,
         $S15/12,
         IF(AT$4=1,
            $T15/12,
            IF(AT$4=$P15,
               $U15/12,
               1
      ))),0),
    ROUND(
      AT15*IF(AT15*$I15&lt;=$L15,$J15,$I15)*
      IF($P15=1,
         $S15/12,
         IF(AT$4=1,
            $T15/12,
            IF(AT$4=$P15,
               $U15/12,
               1
      ))),0)
))))</f>
        <v>-</v>
      </c>
      <c r="AV15" s="56" t="str">
        <f ca="1">IF($H15=リスト!$AA$4,"-",
   IF($C15="-","-",
     IF(AV$4&gt;$P15,"-",
       IF(AV$4=1,$E15,OFFSET(AV15,0,-2)-OFFSET(AV15,0,-1)
))))</f>
        <v>-</v>
      </c>
      <c r="AW15" s="57" t="str">
        <f>IF($H15=リスト!$AA$4,"-",
 IF($C15="-","-",
  IF(AV$4&gt;$P15,"-",
   CHOOSE(MATCH($H$3,リスト!$AE$3:$AE$5,0),
    ROUNDUP(
      AV15*IF(AV15*$I15&lt;=$L15,$J15,$I15)*
      IF($P15=1,
         $S15/12,
         IF(AV$4=1,
            $T15/12,
            IF(AV$4=$P15,
               $U15/12,
               1
      ))),0),
    ROUNDDOWN(
      AV15*IF(AV15*$I15&lt;=$L15,$J15,$I15)*
      IF($P15=1,
         $S15/12,
         IF(AV$4=1,
            $T15/12,
            IF(AV$4=$P15,
               $U15/12,
               1
      ))),0),
    ROUND(
      AV15*IF(AV15*$I15&lt;=$L15,$J15,$I15)*
      IF($P15=1,
         $S15/12,
         IF(AV$4=1,
            $T15/12,
            IF(AV$4=$P15,
               $U15/12,
               1
      ))),0)
))))</f>
        <v>-</v>
      </c>
      <c r="AX15" s="56" t="str">
        <f ca="1">IF($H15=リスト!$AA$4,"-",
   IF($C15="-","-",
     IF(AX$4&gt;$P15,"-",
       IF(AX$4=1,$E15,OFFSET(AX15,0,-2)-OFFSET(AX15,0,-1)
))))</f>
        <v>-</v>
      </c>
      <c r="AY15" s="57" t="str">
        <f>IF($H15=リスト!$AA$4,"-",
 IF($C15="-","-",
  IF(AX$4&gt;$P15,"-",
   CHOOSE(MATCH($H$3,リスト!$AE$3:$AE$5,0),
    ROUNDUP(
      AX15*IF(AX15*$I15&lt;=$L15,$J15,$I15)*
      IF($P15=1,
         $S15/12,
         IF(AX$4=1,
            $T15/12,
            IF(AX$4=$P15,
               $U15/12,
               1
      ))),0),
    ROUNDDOWN(
      AX15*IF(AX15*$I15&lt;=$L15,$J15,$I15)*
      IF($P15=1,
         $S15/12,
         IF(AX$4=1,
            $T15/12,
            IF(AX$4=$P15,
               $U15/12,
               1
      ))),0),
    ROUND(
      AX15*IF(AX15*$I15&lt;=$L15,$J15,$I15)*
      IF($P15=1,
         $S15/12,
         IF(AX$4=1,
            $T15/12,
            IF(AX$4=$P15,
               $U15/12,
               1
      ))),0)
))))</f>
        <v>-</v>
      </c>
      <c r="AZ15" s="56" t="str">
        <f ca="1">IF($H15=リスト!$AA$4,"-",
   IF($C15="-","-",
     IF(AZ$4&gt;$P15,"-",
       IF(AZ$4=1,$E15,OFFSET(AZ15,0,-2)-OFFSET(AZ15,0,-1)
))))</f>
        <v>-</v>
      </c>
      <c r="BA15" s="57" t="str">
        <f>IF($H15=リスト!$AA$4,"-",
 IF($C15="-","-",
  IF(AZ$4&gt;$P15,"-",
   CHOOSE(MATCH($H$3,リスト!$AE$3:$AE$5,0),
    ROUNDUP(
      AZ15*IF(AZ15*$I15&lt;=$L15,$J15,$I15)*
      IF($P15=1,
         $S15/12,
         IF(AZ$4=1,
            $T15/12,
            IF(AZ$4=$P15,
               $U15/12,
               1
      ))),0),
    ROUNDDOWN(
      AZ15*IF(AZ15*$I15&lt;=$L15,$J15,$I15)*
      IF($P15=1,
         $S15/12,
         IF(AZ$4=1,
            $T15/12,
            IF(AZ$4=$P15,
               $U15/12,
               1
      ))),0),
    ROUND(
      AZ15*IF(AZ15*$I15&lt;=$L15,$J15,$I15)*
      IF($P15=1,
         $S15/12,
         IF(AZ$4=1,
            $T15/12,
            IF(AZ$4=$P15,
               $U15/12,
               1
      ))),0)
))))</f>
        <v>-</v>
      </c>
      <c r="BB15" s="56" t="str">
        <f ca="1">IF($H15=リスト!$AA$4,"-",
   IF($C15="-","-",
     IF(BB$4&gt;$P15,"-",
       IF(BB$4=1,$E15,OFFSET(BB15,0,-2)-OFFSET(BB15,0,-1)
))))</f>
        <v>-</v>
      </c>
      <c r="BC15" s="57" t="str">
        <f>IF($H15=リスト!$AA$4,"-",
 IF($C15="-","-",
  IF(BB$4&gt;$P15,"-",
   CHOOSE(MATCH($H$3,リスト!$AE$3:$AE$5,0),
    ROUNDUP(
      BB15*IF(BB15*$I15&lt;=$L15,$J15,$I15)*
      IF($P15=1,
         $S15/12,
         IF(BB$4=1,
            $T15/12,
            IF(BB$4=$P15,
               $U15/12,
               1
      ))),0),
    ROUNDDOWN(
      BB15*IF(BB15*$I15&lt;=$L15,$J15,$I15)*
      IF($P15=1,
         $S15/12,
         IF(BB$4=1,
            $T15/12,
            IF(BB$4=$P15,
               $U15/12,
               1
      ))),0),
    ROUND(
      BB15*IF(BB15*$I15&lt;=$L15,$J15,$I15)*
      IF($P15=1,
         $S15/12,
         IF(BB$4=1,
            $T15/12,
            IF(BB$4=$P15,
               $U15/12,
               1
      ))),0)
))))</f>
        <v>-</v>
      </c>
      <c r="BD15" s="56" t="str">
        <f ca="1">IF($H15=リスト!$AA$4,"-",
   IF($C15="-","-",
     IF(BD$4&gt;$P15,"-",
       IF(BD$4=1,$E15,OFFSET(BD15,0,-2)-OFFSET(BD15,0,-1)
))))</f>
        <v>-</v>
      </c>
      <c r="BE15" s="57" t="str">
        <f>IF($H15=リスト!$AA$4,"-",
 IF($C15="-","-",
  IF(BD$4&gt;$P15,"-",
   CHOOSE(MATCH($H$3,リスト!$AE$3:$AE$5,0),
    ROUNDUP(
      BD15*IF(BD15*$I15&lt;=$L15,$J15,$I15)*
      IF($P15=1,
         $S15/12,
         IF(BD$4=1,
            $T15/12,
            IF(BD$4=$P15,
               $U15/12,
               1
      ))),0),
    ROUNDDOWN(
      BD15*IF(BD15*$I15&lt;=$L15,$J15,$I15)*
      IF($P15=1,
         $S15/12,
         IF(BD$4=1,
            $T15/12,
            IF(BD$4=$P15,
               $U15/12,
               1
      ))),0),
    ROUND(
      BD15*IF(BD15*$I15&lt;=$L15,$J15,$I15)*
      IF($P15=1,
         $S15/12,
         IF(BD$4=1,
            $T15/12,
            IF(BD$4=$P15,
               $U15/12,
               1
      ))),0)
))))</f>
        <v>-</v>
      </c>
      <c r="BF15" s="56" t="str">
        <f ca="1">IF($H15=リスト!$AA$4,"-",
   IF($C15="-","-",
     IF(BF$4&gt;$P15,"-",
       IF(BF$4=1,$E15,OFFSET(BF15,0,-2)-OFFSET(BF15,0,-1)
))))</f>
        <v>-</v>
      </c>
      <c r="BG15" s="57" t="str">
        <f>IF($H15=リスト!$AA$4,"-",
 IF($C15="-","-",
  IF(BF$4&gt;$P15,"-",
   CHOOSE(MATCH($H$3,リスト!$AE$3:$AE$5,0),
    ROUNDUP(
      BF15*IF(BF15*$I15&lt;=$L15,$J15,$I15)*
      IF($P15=1,
         $S15/12,
         IF(BF$4=1,
            $T15/12,
            IF(BF$4=$P15,
               $U15/12,
               1
      ))),0),
    ROUNDDOWN(
      BF15*IF(BF15*$I15&lt;=$L15,$J15,$I15)*
      IF($P15=1,
         $S15/12,
         IF(BF$4=1,
            $T15/12,
            IF(BF$4=$P15,
               $U15/12,
               1
      ))),0),
    ROUND(
      BF15*IF(BF15*$I15&lt;=$L15,$J15,$I15)*
      IF($P15=1,
         $S15/12,
         IF(BF$4=1,
            $T15/12,
            IF(BF$4=$P15,
               $U15/12,
               1
      ))),0)
))))</f>
        <v>-</v>
      </c>
      <c r="BH15" s="56" t="str">
        <f ca="1">IF($H15=リスト!$AA$4,"-",
   IF($C15="-","-",
     IF(BH$4&gt;$P15,"-",
       IF(BH$4=1,$E15,OFFSET(BH15,0,-2)-OFFSET(BH15,0,-1)
))))</f>
        <v>-</v>
      </c>
      <c r="BI15" s="57" t="str">
        <f>IF($H15=リスト!$AA$4,"-",
 IF($C15="-","-",
  IF(BH$4&gt;$P15,"-",
   CHOOSE(MATCH($H$3,リスト!$AE$3:$AE$5,0),
    ROUNDUP(
      BH15*IF(BH15*$I15&lt;=$L15,$J15,$I15)*
      IF($P15=1,
         $S15/12,
         IF(BH$4=1,
            $T15/12,
            IF(BH$4=$P15,
               $U15/12,
               1
      ))),0),
    ROUNDDOWN(
      BH15*IF(BH15*$I15&lt;=$L15,$J15,$I15)*
      IF($P15=1,
         $S15/12,
         IF(BH$4=1,
            $T15/12,
            IF(BH$4=$P15,
               $U15/12,
               1
      ))),0),
    ROUND(
      BH15*IF(BH15*$I15&lt;=$L15,$J15,$I15)*
      IF($P15=1,
         $S15/12,
         IF(BH$4=1,
            $T15/12,
            IF(BH$4=$P15,
               $U15/12,
               1
      ))),0)
))))</f>
        <v>-</v>
      </c>
      <c r="BJ15" s="56" t="str">
        <f ca="1">IF($H15=リスト!$AA$4,"-",
   IF($C15="-","-",
     IF(BJ$4&gt;$P15,"-",
       IF(BJ$4=1,$E15,OFFSET(BJ15,0,-2)-OFFSET(BJ15,0,-1)
))))</f>
        <v>-</v>
      </c>
      <c r="BK15" s="57" t="str">
        <f>IF($H15=リスト!$AA$4,"-",
 IF($C15="-","-",
  IF(BJ$4&gt;$P15,"-",
   CHOOSE(MATCH($H$3,リスト!$AE$3:$AE$5,0),
    ROUNDUP(
      BJ15*IF(BJ15*$I15&lt;=$L15,$J15,$I15)*
      IF($P15=1,
         $S15/12,
         IF(BJ$4=1,
            $T15/12,
            IF(BJ$4=$P15,
               $U15/12,
               1
      ))),0),
    ROUNDDOWN(
      BJ15*IF(BJ15*$I15&lt;=$L15,$J15,$I15)*
      IF($P15=1,
         $S15/12,
         IF(BJ$4=1,
            $T15/12,
            IF(BJ$4=$P15,
               $U15/12,
               1
      ))),0),
    ROUND(
      BJ15*IF(BJ15*$I15&lt;=$L15,$J15,$I15)*
      IF($P15=1,
         $S15/12,
         IF(BJ$4=1,
            $T15/12,
            IF(BJ$4=$P15,
               $U15/12,
               1
      ))),0)
))))</f>
        <v>-</v>
      </c>
      <c r="BL15" s="56" t="str">
        <f ca="1">IF($H15=リスト!$AA$4,"-",
   IF($C15="-","-",
     IF(BL$4&gt;$P15,"-",
       IF(BL$4=1,$E15,OFFSET(BL15,0,-2)-OFFSET(BL15,0,-1)
))))</f>
        <v>-</v>
      </c>
      <c r="BM15" s="57" t="str">
        <f>IF($H15=リスト!$AA$4,"-",
 IF($C15="-","-",
  IF(BL$4&gt;$P15,"-",
   CHOOSE(MATCH($H$3,リスト!$AE$3:$AE$5,0),
    ROUNDUP(
      BL15*IF(BL15*$I15&lt;=$L15,$J15,$I15)*
      IF($P15=1,
         $S15/12,
         IF(BL$4=1,
            $T15/12,
            IF(BL$4=$P15,
               $U15/12,
               1
      ))),0),
    ROUNDDOWN(
      BL15*IF(BL15*$I15&lt;=$L15,$J15,$I15)*
      IF($P15=1,
         $S15/12,
         IF(BL$4=1,
            $T15/12,
            IF(BL$4=$P15,
               $U15/12,
               1
      ))),0),
    ROUND(
      BL15*IF(BL15*$I15&lt;=$L15,$J15,$I15)*
      IF($P15=1,
         $S15/12,
         IF(BL$4=1,
            $T15/12,
            IF(BL$4=$P15,
               $U15/12,
               1
      ))),0)
))))</f>
        <v>-</v>
      </c>
      <c r="BN15" s="56" t="str">
        <f ca="1">IF($H15=リスト!$AA$4,"-",
   IF($C15="-","-",
     IF(BN$4&gt;$P15,"-",
       IF(BN$4=1,$E15,OFFSET(BN15,0,-2)-OFFSET(BN15,0,-1)
))))</f>
        <v>-</v>
      </c>
      <c r="BO15" s="57" t="str">
        <f>IF($H15=リスト!$AA$4,"-",
 IF($C15="-","-",
  IF(BN$4&gt;$P15,"-",
   CHOOSE(MATCH($H$3,リスト!$AE$3:$AE$5,0),
    ROUNDUP(
      BN15*IF(BN15*$I15&lt;=$L15,$J15,$I15)*
      IF($P15=1,
         $S15/12,
         IF(BN$4=1,
            $T15/12,
            IF(BN$4=$P15,
               $U15/12,
               1
      ))),0),
    ROUNDDOWN(
      BN15*IF(BN15*$I15&lt;=$L15,$J15,$I15)*
      IF($P15=1,
         $S15/12,
         IF(BN$4=1,
            $T15/12,
            IF(BN$4=$P15,
               $U15/12,
               1
      ))),0),
    ROUND(
      BN15*IF(BN15*$I15&lt;=$L15,$J15,$I15)*
      IF($P15=1,
         $S15/12,
         IF(BN$4=1,
            $T15/12,
            IF(BN$4=$P15,
               $U15/12,
               1
      ))),0)
))))</f>
        <v>-</v>
      </c>
      <c r="BP15" s="56" t="str">
        <f ca="1">IF($H15=リスト!$AA$4,"-",
   IF($C15="-","-",
     IF(BP$4&gt;$P15,"-",
       IF(BP$4=1,$E15,OFFSET(BP15,0,-2)-OFFSET(BP15,0,-1)
))))</f>
        <v>-</v>
      </c>
      <c r="BQ15" s="57" t="str">
        <f>IF($H15=リスト!$AA$4,"-",
 IF($C15="-","-",
  IF(BP$4&gt;$P15,"-",
   CHOOSE(MATCH($H$3,リスト!$AE$3:$AE$5,0),
    ROUNDUP(
      BP15*IF(BP15*$I15&lt;=$L15,$J15,$I15)*
      IF($P15=1,
         $S15/12,
         IF(BP$4=1,
            $T15/12,
            IF(BP$4=$P15,
               $U15/12,
               1
      ))),0),
    ROUNDDOWN(
      BP15*IF(BP15*$I15&lt;=$L15,$J15,$I15)*
      IF($P15=1,
         $S15/12,
         IF(BP$4=1,
            $T15/12,
            IF(BP$4=$P15,
               $U15/12,
               1
      ))),0),
    ROUND(
      BP15*IF(BP15*$I15&lt;=$L15,$J15,$I15)*
      IF($P15=1,
         $S15/12,
         IF(BP$4=1,
            $T15/12,
            IF(BP$4=$P15,
               $U15/12,
               1
      ))),0)
))))</f>
        <v>-</v>
      </c>
      <c r="BR15" s="56" t="str">
        <f ca="1">IF($H15=リスト!$AA$4,"-",
   IF($C15="-","-",
     IF(BR$4&gt;$P15,"-",
       IF(BR$4=1,$E15,OFFSET(BR15,0,-2)-OFFSET(BR15,0,-1)
))))</f>
        <v>-</v>
      </c>
      <c r="BS15" s="57" t="str">
        <f>IF($H15=リスト!$AA$4,"-",
 IF($C15="-","-",
  IF(BR$4&gt;$P15,"-",
   CHOOSE(MATCH($H$3,リスト!$AE$3:$AE$5,0),
    ROUNDUP(
      BR15*IF(BR15*$I15&lt;=$L15,$J15,$I15)*
      IF($P15=1,
         $S15/12,
         IF(BR$4=1,
            $T15/12,
            IF(BR$4=$P15,
               $U15/12,
               1
      ))),0),
    ROUNDDOWN(
      BR15*IF(BR15*$I15&lt;=$L15,$J15,$I15)*
      IF($P15=1,
         $S15/12,
         IF(BR$4=1,
            $T15/12,
            IF(BR$4=$P15,
               $U15/12,
               1
      ))),0),
    ROUND(
      BR15*IF(BR15*$I15&lt;=$L15,$J15,$I15)*
      IF($P15=1,
         $S15/12,
         IF(BR$4=1,
            $T15/12,
            IF(BR$4=$P15,
               $U15/12,
               1
      ))),0)
))))</f>
        <v>-</v>
      </c>
      <c r="BT15" s="56" t="str">
        <f ca="1">IF($H15=リスト!$AA$4,"-",
   IF($C15="-","-",
     IF(BT$4&gt;$P15,"-",
       IF(BT$4=1,$E15,OFFSET(BT15,0,-2)-OFFSET(BT15,0,-1)
))))</f>
        <v>-</v>
      </c>
      <c r="BU15" s="57" t="str">
        <f>IF($H15=リスト!$AA$4,"-",
 IF($C15="-","-",
  IF(BT$4&gt;$P15,"-",
   CHOOSE(MATCH($H$3,リスト!$AE$3:$AE$5,0),
    ROUNDUP(
      BT15*IF(BT15*$I15&lt;=$L15,$J15,$I15)*
      IF($P15=1,
         $S15/12,
         IF(BT$4=1,
            $T15/12,
            IF(BT$4=$P15,
               $U15/12,
               1
      ))),0),
    ROUNDDOWN(
      BT15*IF(BT15*$I15&lt;=$L15,$J15,$I15)*
      IF($P15=1,
         $S15/12,
         IF(BT$4=1,
            $T15/12,
            IF(BT$4=$P15,
               $U15/12,
               1
      ))),0),
    ROUND(
      BT15*IF(BT15*$I15&lt;=$L15,$J15,$I15)*
      IF($P15=1,
         $S15/12,
         IF(BT$4=1,
            $T15/12,
            IF(BT$4=$P15,
               $U15/12,
               1
      ))),0)
))))</f>
        <v>-</v>
      </c>
      <c r="BV15" s="56" t="str">
        <f ca="1">IF($H15=リスト!$AA$4,"-",
   IF($C15="-","-",
     IF(BV$4&gt;$P15,"-",
       IF(BV$4=1,$E15,OFFSET(BV15,0,-2)-OFFSET(BV15,0,-1)
))))</f>
        <v>-</v>
      </c>
      <c r="BW15" s="57" t="str">
        <f>IF($H15=リスト!$AA$4,"-",
 IF($C15="-","-",
  IF(BV$4&gt;$P15,"-",
   CHOOSE(MATCH($H$3,リスト!$AE$3:$AE$5,0),
    ROUNDUP(
      BV15*IF(BV15*$I15&lt;=$L15,$J15,$I15)*
      IF($P15=1,
         $S15/12,
         IF(BV$4=1,
            $T15/12,
            IF(BV$4=$P15,
               $U15/12,
               1
      ))),0),
    ROUNDDOWN(
      BV15*IF(BV15*$I15&lt;=$L15,$J15,$I15)*
      IF($P15=1,
         $S15/12,
         IF(BV$4=1,
            $T15/12,
            IF(BV$4=$P15,
               $U15/12,
               1
      ))),0),
    ROUND(
      BV15*IF(BV15*$I15&lt;=$L15,$J15,$I15)*
      IF($P15=1,
         $S15/12,
         IF(BV$4=1,
            $T15/12,
            IF(BV$4=$P15,
               $U15/12,
               1
      ))),0)
))))</f>
        <v>-</v>
      </c>
      <c r="BX15" s="56" t="str">
        <f ca="1">IF($H15=リスト!$AA$4,"-",
   IF($C15="-","-",
     IF(BX$4&gt;$P15,"-",
       IF(BX$4=1,$E15,OFFSET(BX15,0,-2)-OFFSET(BX15,0,-1)
))))</f>
        <v>-</v>
      </c>
      <c r="BY15" s="57" t="str">
        <f>IF($H15=リスト!$AA$4,"-",
 IF($C15="-","-",
  IF(BX$4&gt;$P15,"-",
   CHOOSE(MATCH($H$3,リスト!$AE$3:$AE$5,0),
    ROUNDUP(
      BX15*IF(BX15*$I15&lt;=$L15,$J15,$I15)*
      IF($P15=1,
         $S15/12,
         IF(BX$4=1,
            $T15/12,
            IF(BX$4=$P15,
               $U15/12,
               1
      ))),0),
    ROUNDDOWN(
      BX15*IF(BX15*$I15&lt;=$L15,$J15,$I15)*
      IF($P15=1,
         $S15/12,
         IF(BX$4=1,
            $T15/12,
            IF(BX$4=$P15,
               $U15/12,
               1
      ))),0),
    ROUND(
      BX15*IF(BX15*$I15&lt;=$L15,$J15,$I15)*
      IF($P15=1,
         $S15/12,
         IF(BX$4=1,
            $T15/12,
            IF(BX$4=$P15,
               $U15/12,
               1
      ))),0)
))))</f>
        <v>-</v>
      </c>
      <c r="BZ15" s="56" t="str">
        <f ca="1">IF($H15=リスト!$AA$4,"-",
   IF($C15="-","-",
     IF(BZ$4&gt;$P15,"-",
       IF(BZ$4=1,$E15,OFFSET(BZ15,0,-2)-OFFSET(BZ15,0,-1)
))))</f>
        <v>-</v>
      </c>
      <c r="CA15" s="57" t="str">
        <f>IF($H15=リスト!$AA$4,"-",
 IF($C15="-","-",
  IF(BZ$4&gt;$P15,"-",
   CHOOSE(MATCH($H$3,リスト!$AE$3:$AE$5,0),
    ROUNDUP(
      BZ15*IF(BZ15*$I15&lt;=$L15,$J15,$I15)*
      IF($P15=1,
         $S15/12,
         IF(BZ$4=1,
            $T15/12,
            IF(BZ$4=$P15,
               $U15/12,
               1
      ))),0),
    ROUNDDOWN(
      BZ15*IF(BZ15*$I15&lt;=$L15,$J15,$I15)*
      IF($P15=1,
         $S15/12,
         IF(BZ$4=1,
            $T15/12,
            IF(BZ$4=$P15,
               $U15/12,
               1
      ))),0),
    ROUND(
      BZ15*IF(BZ15*$I15&lt;=$L15,$J15,$I15)*
      IF($P15=1,
         $S15/12,
         IF(BZ$4=1,
            $T15/12,
            IF(BZ$4=$P15,
               $U15/12,
               1
      ))),0)
))))</f>
        <v>-</v>
      </c>
      <c r="CB15" s="56" t="str">
        <f ca="1">IF($H15=リスト!$AA$4,"-",
   IF($C15="-","-",
     IF(CB$4&gt;$P15,"-",
       IF(CB$4=1,$E15,OFFSET(CB15,0,-2)-OFFSET(CB15,0,-1)
))))</f>
        <v>-</v>
      </c>
      <c r="CC15" s="57" t="str">
        <f>IF($H15=リスト!$AA$4,"-",
 IF($C15="-","-",
  IF(CB$4&gt;$P15,"-",
   CHOOSE(MATCH($H$3,リスト!$AE$3:$AE$5,0),
    ROUNDUP(
      CB15*IF(CB15*$I15&lt;=$L15,$J15,$I15)*
      IF($P15=1,
         $S15/12,
         IF(CB$4=1,
            $T15/12,
            IF(CB$4=$P15,
               $U15/12,
               1
      ))),0),
    ROUNDDOWN(
      CB15*IF(CB15*$I15&lt;=$L15,$J15,$I15)*
      IF($P15=1,
         $S15/12,
         IF(CB$4=1,
            $T15/12,
            IF(CB$4=$P15,
               $U15/12,
               1
      ))),0),
    ROUND(
      CB15*IF(CB15*$I15&lt;=$L15,$J15,$I15)*
      IF($P15=1,
         $S15/12,
         IF(CB$4=1,
            $T15/12,
            IF(CB$4=$P15,
               $U15/12,
               1
      ))),0)
))))</f>
        <v>-</v>
      </c>
      <c r="CD15" s="56" t="str">
        <f ca="1">IF($H15=リスト!$AA$4,"-",
   IF($C15="-","-",
     IF(CD$4&gt;$P15,"-",
       IF(CD$4=1,$E15,OFFSET(CD15,0,-2)-OFFSET(CD15,0,-1)
))))</f>
        <v>-</v>
      </c>
      <c r="CE15" s="57" t="str">
        <f>IF($H15=リスト!$AA$4,"-",
 IF($C15="-","-",
  IF(CD$4&gt;$P15,"-",
   CHOOSE(MATCH($H$3,リスト!$AE$3:$AE$5,0),
    ROUNDUP(
      CD15*IF(CD15*$I15&lt;=$L15,$J15,$I15)*
      IF($P15=1,
         $S15/12,
         IF(CD$4=1,
            $T15/12,
            IF(CD$4=$P15,
               $U15/12,
               1
      ))),0),
    ROUNDDOWN(
      CD15*IF(CD15*$I15&lt;=$L15,$J15,$I15)*
      IF($P15=1,
         $S15/12,
         IF(CD$4=1,
            $T15/12,
            IF(CD$4=$P15,
               $U15/12,
               1
      ))),0),
    ROUND(
      CD15*IF(CD15*$I15&lt;=$L15,$J15,$I15)*
      IF($P15=1,
         $S15/12,
         IF(CD$4=1,
            $T15/12,
            IF(CD$4=$P15,
               $U15/12,
               1
      ))),0)
))))</f>
        <v>-</v>
      </c>
      <c r="CF15" s="56" t="str">
        <f ca="1">IF($H15=リスト!$AA$4,"-",
   IF($C15="-","-",
     IF(CF$4&gt;$P15,"-",
       IF(CF$4=1,$E15,OFFSET(CF15,0,-2)-OFFSET(CF15,0,-1)
))))</f>
        <v>-</v>
      </c>
      <c r="CG15" s="57" t="str">
        <f>IF($H15=リスト!$AA$4,"-",
 IF($C15="-","-",
  IF(CF$4&gt;$P15,"-",
   CHOOSE(MATCH($H$3,リスト!$AE$3:$AE$5,0),
    ROUNDUP(
      CF15*IF(CF15*$I15&lt;=$L15,$J15,$I15)*
      IF($P15=1,
         $S15/12,
         IF(CF$4=1,
            $T15/12,
            IF(CF$4=$P15,
               $U15/12,
               1
      ))),0),
    ROUNDDOWN(
      CF15*IF(CF15*$I15&lt;=$L15,$J15,$I15)*
      IF($P15=1,
         $S15/12,
         IF(CF$4=1,
            $T15/12,
            IF(CF$4=$P15,
               $U15/12,
               1
      ))),0),
    ROUND(
      CF15*IF(CF15*$I15&lt;=$L15,$J15,$I15)*
      IF($P15=1,
         $S15/12,
         IF(CF$4=1,
            $T15/12,
            IF(CF$4=$P15,
               $U15/12,
               1
      ))),0)
))))</f>
        <v>-</v>
      </c>
      <c r="CH15" s="56" t="str">
        <f ca="1">IF($H15=リスト!$AA$4,"-",
   IF($C15="-","-",
     IF(CH$4&gt;$P15,"-",
       IF(CH$4=1,$E15,OFFSET(CH15,0,-2)-OFFSET(CH15,0,-1)
))))</f>
        <v>-</v>
      </c>
      <c r="CI15" s="57" t="str">
        <f>IF($H15=リスト!$AA$4,"-",
 IF($C15="-","-",
  IF(CH$4&gt;$P15,"-",
   CHOOSE(MATCH($H$3,リスト!$AE$3:$AE$5,0),
    ROUNDUP(
      CH15*IF(CH15*$I15&lt;=$L15,$J15,$I15)*
      IF($P15=1,
         $S15/12,
         IF(CH$4=1,
            $T15/12,
            IF(CH$4=$P15,
               $U15/12,
               1
      ))),0),
    ROUNDDOWN(
      CH15*IF(CH15*$I15&lt;=$L15,$J15,$I15)*
      IF($P15=1,
         $S15/12,
         IF(CH$4=1,
            $T15/12,
            IF(CH$4=$P15,
               $U15/12,
               1
      ))),0),
    ROUND(
      CH15*IF(CH15*$I15&lt;=$L15,$J15,$I15)*
      IF($P15=1,
         $S15/12,
         IF(CH$4=1,
            $T15/12,
            IF(CH$4=$P15,
               $U15/12,
               1
      ))),0)
))))</f>
        <v>-</v>
      </c>
      <c r="CJ15" s="56" t="str">
        <f ca="1">IF($H15=リスト!$AA$4,"-",
   IF($C15="-","-",
     IF(CJ$4&gt;$P15,"-",
       IF(CJ$4=1,$E15,OFFSET(CJ15,0,-2)-OFFSET(CJ15,0,-1)
))))</f>
        <v>-</v>
      </c>
      <c r="CK15" s="57" t="str">
        <f>IF($H15=リスト!$AA$4,"-",
 IF($C15="-","-",
  IF(CJ$4&gt;$P15,"-",
   CHOOSE(MATCH($H$3,リスト!$AE$3:$AE$5,0),
    ROUNDUP(
      CJ15*IF(CJ15*$I15&lt;=$L15,$J15,$I15)*
      IF($P15=1,
         $S15/12,
         IF(CJ$4=1,
            $T15/12,
            IF(CJ$4=$P15,
               $U15/12,
               1
      ))),0),
    ROUNDDOWN(
      CJ15*IF(CJ15*$I15&lt;=$L15,$J15,$I15)*
      IF($P15=1,
         $S15/12,
         IF(CJ$4=1,
            $T15/12,
            IF(CJ$4=$P15,
               $U15/12,
               1
      ))),0),
    ROUND(
      CJ15*IF(CJ15*$I15&lt;=$L15,$J15,$I15)*
      IF($P15=1,
         $S15/12,
         IF(CJ$4=1,
            $T15/12,
            IF(CJ$4=$P15,
               $U15/12,
               1
      ))),0)
))))</f>
        <v>-</v>
      </c>
      <c r="CL15" s="56" t="str">
        <f ca="1">IF($H15=リスト!$AA$4,"-",
   IF($C15="-","-",
     IF(CL$4&gt;$P15,"-",
       IF(CL$4=1,$E15,OFFSET(CL15,0,-2)-OFFSET(CL15,0,-1)
))))</f>
        <v>-</v>
      </c>
      <c r="CM15" s="57" t="str">
        <f>IF($H15=リスト!$AA$4,"-",
 IF($C15="-","-",
  IF(CL$4&gt;$P15,"-",
   CHOOSE(MATCH($H$3,リスト!$AE$3:$AE$5,0),
    ROUNDUP(
      CL15*IF(CL15*$I15&lt;=$L15,$J15,$I15)*
      IF($P15=1,
         $S15/12,
         IF(CL$4=1,
            $T15/12,
            IF(CL$4=$P15,
               $U15/12,
               1
      ))),0),
    ROUNDDOWN(
      CL15*IF(CL15*$I15&lt;=$L15,$J15,$I15)*
      IF($P15=1,
         $S15/12,
         IF(CL$4=1,
            $T15/12,
            IF(CL$4=$P15,
               $U15/12,
               1
      ))),0),
    ROUND(
      CL15*IF(CL15*$I15&lt;=$L15,$J15,$I15)*
      IF($P15=1,
         $S15/12,
         IF(CL$4=1,
            $T15/12,
            IF(CL$4=$P15,
               $U15/12,
               1
      ))),0)
))))</f>
        <v>-</v>
      </c>
      <c r="CN15" s="56" t="str">
        <f ca="1">IF($H15=リスト!$AA$4,"-",
   IF($C15="-","-",
     IF(CN$4&gt;$P15,"-",
       IF(CN$4=1,$E15,OFFSET(CN15,0,-2)-OFFSET(CN15,0,-1)
))))</f>
        <v>-</v>
      </c>
      <c r="CO15" s="57" t="str">
        <f>IF($H15=リスト!$AA$4,"-",
 IF($C15="-","-",
  IF(CN$4&gt;$P15,"-",
   CHOOSE(MATCH($H$3,リスト!$AE$3:$AE$5,0),
    ROUNDUP(
      CN15*IF(CN15*$I15&lt;=$L15,$J15,$I15)*
      IF($P15=1,
         $S15/12,
         IF(CN$4=1,
            $T15/12,
            IF(CN$4=$P15,
               $U15/12,
               1
      ))),0),
    ROUNDDOWN(
      CN15*IF(CN15*$I15&lt;=$L15,$J15,$I15)*
      IF($P15=1,
         $S15/12,
         IF(CN$4=1,
            $T15/12,
            IF(CN$4=$P15,
               $U15/12,
               1
      ))),0),
    ROUND(
      CN15*IF(CN15*$I15&lt;=$L15,$J15,$I15)*
      IF($P15=1,
         $S15/12,
         IF(CN$4=1,
            $T15/12,
            IF(CN$4=$P15,
               $U15/12,
               1
      ))),0)
))))</f>
        <v>-</v>
      </c>
      <c r="CP15" s="56" t="str">
        <f ca="1">IF($H15=リスト!$AA$4,"-",
   IF($C15="-","-",
     IF(CP$4&gt;$P15,"-",
       IF(CP$4=1,$E15,OFFSET(CP15,0,-2)-OFFSET(CP15,0,-1)
))))</f>
        <v>-</v>
      </c>
      <c r="CQ15" s="57" t="str">
        <f>IF($H15=リスト!$AA$4,"-",
 IF($C15="-","-",
  IF(CP$4&gt;$P15,"-",
   CHOOSE(MATCH($H$3,リスト!$AE$3:$AE$5,0),
    ROUNDUP(
      CP15*IF(CP15*$I15&lt;=$L15,$J15,$I15)*
      IF($P15=1,
         $S15/12,
         IF(CP$4=1,
            $T15/12,
            IF(CP$4=$P15,
               $U15/12,
               1
      ))),0),
    ROUNDDOWN(
      CP15*IF(CP15*$I15&lt;=$L15,$J15,$I15)*
      IF($P15=1,
         $S15/12,
         IF(CP$4=1,
            $T15/12,
            IF(CP$4=$P15,
               $U15/12,
               1
      ))),0),
    ROUND(
      CP15*IF(CP15*$I15&lt;=$L15,$J15,$I15)*
      IF($P15=1,
         $S15/12,
         IF(CP$4=1,
            $T15/12,
            IF(CP$4=$P15,
               $U15/12,
               1
      ))),0)
))))</f>
        <v>-</v>
      </c>
      <c r="CR15" s="56" t="str">
        <f ca="1">IF($H15=リスト!$AA$4,"-",
   IF($C15="-","-",
     IF(CR$4&gt;$P15,"-",
       IF(CR$4=1,$E15,OFFSET(CR15,0,-2)-OFFSET(CR15,0,-1)
))))</f>
        <v>-</v>
      </c>
      <c r="CS15" s="57" t="str">
        <f>IF($H15=リスト!$AA$4,"-",
 IF($C15="-","-",
  IF(CR$4&gt;$P15,"-",
   CHOOSE(MATCH($H$3,リスト!$AE$3:$AE$5,0),
    ROUNDUP(
      CR15*IF(CR15*$I15&lt;=$L15,$J15,$I15)*
      IF($P15=1,
         $S15/12,
         IF(CR$4=1,
            $T15/12,
            IF(CR$4=$P15,
               $U15/12,
               1
      ))),0),
    ROUNDDOWN(
      CR15*IF(CR15*$I15&lt;=$L15,$J15,$I15)*
      IF($P15=1,
         $S15/12,
         IF(CR$4=1,
            $T15/12,
            IF(CR$4=$P15,
               $U15/12,
               1
      ))),0),
    ROUND(
      CR15*IF(CR15*$I15&lt;=$L15,$J15,$I15)*
      IF($P15=1,
         $S15/12,
         IF(CR$4=1,
            $T15/12,
            IF(CR$4=$P15,
               $U15/12,
               1
      ))),0)
))))</f>
        <v>-</v>
      </c>
      <c r="CT15" s="56" t="str">
        <f ca="1">IF($H15=リスト!$AA$4,"-",
   IF($C15="-","-",
     IF(CT$4&gt;$P15,"-",
       IF(CT$4=1,$E15,OFFSET(CT15,0,-2)-OFFSET(CT15,0,-1)
))))</f>
        <v>-</v>
      </c>
      <c r="CU15" s="57" t="str">
        <f>IF($H15=リスト!$AA$4,"-",
 IF($C15="-","-",
  IF(CT$4&gt;$P15,"-",
   CHOOSE(MATCH($H$3,リスト!$AE$3:$AE$5,0),
    ROUNDUP(
      CT15*IF(CT15*$I15&lt;=$L15,$J15,$I15)*
      IF($P15=1,
         $S15/12,
         IF(CT$4=1,
            $T15/12,
            IF(CT$4=$P15,
               $U15/12,
               1
      ))),0),
    ROUNDDOWN(
      CT15*IF(CT15*$I15&lt;=$L15,$J15,$I15)*
      IF($P15=1,
         $S15/12,
         IF(CT$4=1,
            $T15/12,
            IF(CT$4=$P15,
               $U15/12,
               1
      ))),0),
    ROUND(
      CT15*IF(CT15*$I15&lt;=$L15,$J15,$I15)*
      IF($P15=1,
         $S15/12,
         IF(CT$4=1,
            $T15/12,
            IF(CT$4=$P15,
               $U15/12,
               1
      ))),0)
))))</f>
        <v>-</v>
      </c>
      <c r="CV15" s="56" t="str">
        <f ca="1">IF($H15=リスト!$AA$4,"-",
   IF($C15="-","-",
     IF(CV$4&gt;$P15,"-",
       IF(CV$4=1,$E15,OFFSET(CV15,0,-2)-OFFSET(CV15,0,-1)
))))</f>
        <v>-</v>
      </c>
      <c r="CW15" s="57" t="str">
        <f>IF($H15=リスト!$AA$4,"-",
 IF($C15="-","-",
  IF(CV$4&gt;$P15,"-",
   CHOOSE(MATCH($H$3,リスト!$AE$3:$AE$5,0),
    ROUNDUP(
      CV15*IF(CV15*$I15&lt;=$L15,$J15,$I15)*
      IF($P15=1,
         $S15/12,
         IF(CV$4=1,
            $T15/12,
            IF(CV$4=$P15,
               $U15/12,
               1
      ))),0),
    ROUNDDOWN(
      CV15*IF(CV15*$I15&lt;=$L15,$J15,$I15)*
      IF($P15=1,
         $S15/12,
         IF(CV$4=1,
            $T15/12,
            IF(CV$4=$P15,
               $U15/12,
               1
      ))),0),
    ROUND(
      CV15*IF(CV15*$I15&lt;=$L15,$J15,$I15)*
      IF($P15=1,
         $S15/12,
         IF(CV$4=1,
            $T15/12,
            IF(CV$4=$P15,
               $U15/12,
               1
      ))),0)
))))</f>
        <v>-</v>
      </c>
      <c r="CX15" s="56" t="str">
        <f ca="1">IF($H15=リスト!$AA$4,"-",
   IF($C15="-","-",
     IF(CX$4&gt;$P15,"-",
       IF(CX$4=1,$E15,OFFSET(CX15,0,-2)-OFFSET(CX15,0,-1)
))))</f>
        <v>-</v>
      </c>
      <c r="CY15" s="57" t="str">
        <f>IF($H15=リスト!$AA$4,"-",
 IF($C15="-","-",
  IF(CX$4&gt;$P15,"-",
   CHOOSE(MATCH($H$3,リスト!$AE$3:$AE$5,0),
    ROUNDUP(
      CX15*IF(CX15*$I15&lt;=$L15,$J15,$I15)*
      IF($P15=1,
         $S15/12,
         IF(CX$4=1,
            $T15/12,
            IF(CX$4=$P15,
               $U15/12,
               1
      ))),0),
    ROUNDDOWN(
      CX15*IF(CX15*$I15&lt;=$L15,$J15,$I15)*
      IF($P15=1,
         $S15/12,
         IF(CX$4=1,
            $T15/12,
            IF(CX$4=$P15,
               $U15/12,
               1
      ))),0),
    ROUND(
      CX15*IF(CX15*$I15&lt;=$L15,$J15,$I15)*
      IF($P15=1,
         $S15/12,
         IF(CX$4=1,
            $T15/12,
            IF(CX$4=$P15,
               $U15/12,
               1
      ))),0)
))))</f>
        <v>-</v>
      </c>
      <c r="CZ15" s="56" t="str">
        <f ca="1">IF($H15=リスト!$AA$4,"-",
   IF($C15="-","-",
     IF(CZ$4&gt;$P15,"-",
       IF(CZ$4=1,$E15,OFFSET(CZ15,0,-2)-OFFSET(CZ15,0,-1)
))))</f>
        <v>-</v>
      </c>
      <c r="DA15" s="57" t="str">
        <f>IF($H15=リスト!$AA$4,"-",
 IF($C15="-","-",
  IF(CZ$4&gt;$P15,"-",
   CHOOSE(MATCH($H$3,リスト!$AE$3:$AE$5,0),
    ROUNDUP(
      CZ15*IF(CZ15*$I15&lt;=$L15,$J15,$I15)*
      IF($P15=1,
         $S15/12,
         IF(CZ$4=1,
            $T15/12,
            IF(CZ$4=$P15,
               $U15/12,
               1
      ))),0),
    ROUNDDOWN(
      CZ15*IF(CZ15*$I15&lt;=$L15,$J15,$I15)*
      IF($P15=1,
         $S15/12,
         IF(CZ$4=1,
            $T15/12,
            IF(CZ$4=$P15,
               $U15/12,
               1
      ))),0),
    ROUND(
      CZ15*IF(CZ15*$I15&lt;=$L15,$J15,$I15)*
      IF($P15=1,
         $S15/12,
         IF(CZ$4=1,
            $T15/12,
            IF(CZ$4=$P15,
               $U15/12,
               1
      ))),0)
))))</f>
        <v>-</v>
      </c>
      <c r="DB15" s="56" t="str">
        <f ca="1">IF($H15=リスト!$AA$4,"-",
   IF($C15="-","-",
     IF(DB$4&gt;$P15,"-",
       IF(DB$4=1,$E15,OFFSET(DB15,0,-2)-OFFSET(DB15,0,-1)
))))</f>
        <v>-</v>
      </c>
      <c r="DC15" s="57" t="str">
        <f>IF($H15=リスト!$AA$4,"-",
 IF($C15="-","-",
  IF(DB$4&gt;$P15,"-",
   CHOOSE(MATCH($H$3,リスト!$AE$3:$AE$5,0),
    ROUNDUP(
      DB15*IF(DB15*$I15&lt;=$L15,$J15,$I15)*
      IF($P15=1,
         $S15/12,
         IF(DB$4=1,
            $T15/12,
            IF(DB$4=$P15,
               $U15/12,
               1
      ))),0),
    ROUNDDOWN(
      DB15*IF(DB15*$I15&lt;=$L15,$J15,$I15)*
      IF($P15=1,
         $S15/12,
         IF(DB$4=1,
            $T15/12,
            IF(DB$4=$P15,
               $U15/12,
               1
      ))),0),
    ROUND(
      DB15*IF(DB15*$I15&lt;=$L15,$J15,$I15)*
      IF($P15=1,
         $S15/12,
         IF(DB$4=1,
            $T15/12,
            IF(DB$4=$P15,
               $U15/12,
               1
      ))),0)
))))</f>
        <v>-</v>
      </c>
      <c r="DD15" s="56" t="str">
        <f ca="1">IF($H15=リスト!$AA$4,"-",
   IF($C15="-","-",
     IF(DD$4&gt;$P15,"-",
       IF(DD$4=1,$E15,OFFSET(DD15,0,-2)-OFFSET(DD15,0,-1)
))))</f>
        <v>-</v>
      </c>
      <c r="DE15" s="57" t="str">
        <f>IF($H15=リスト!$AA$4,"-",
 IF($C15="-","-",
  IF(DD$4&gt;$P15,"-",
   CHOOSE(MATCH($H$3,リスト!$AE$3:$AE$5,0),
    ROUNDUP(
      DD15*IF(DD15*$I15&lt;=$L15,$J15,$I15)*
      IF($P15=1,
         $S15/12,
         IF(DD$4=1,
            $T15/12,
            IF(DD$4=$P15,
               $U15/12,
               1
      ))),0),
    ROUNDDOWN(
      DD15*IF(DD15*$I15&lt;=$L15,$J15,$I15)*
      IF($P15=1,
         $S15/12,
         IF(DD$4=1,
            $T15/12,
            IF(DD$4=$P15,
               $U15/12,
               1
      ))),0),
    ROUND(
      DD15*IF(DD15*$I15&lt;=$L15,$J15,$I15)*
      IF($P15=1,
         $S15/12,
         IF(DD$4=1,
            $T15/12,
            IF(DD$4=$P15,
               $U15/12,
               1
      ))),0)
))))</f>
        <v>-</v>
      </c>
      <c r="DF15" s="56" t="str">
        <f ca="1">IF($H15=リスト!$AA$4,"-",
   IF($C15="-","-",
     IF(DF$4&gt;$P15,"-",
       IF(DF$4=1,$E15,OFFSET(DF15,0,-2)-OFFSET(DF15,0,-1)
))))</f>
        <v>-</v>
      </c>
      <c r="DG15" s="57" t="str">
        <f>IF($H15=リスト!$AA$4,"-",
 IF($C15="-","-",
  IF(DF$4&gt;$P15,"-",
   CHOOSE(MATCH($H$3,リスト!$AE$3:$AE$5,0),
    ROUNDUP(
      DF15*IF(DF15*$I15&lt;=$L15,$J15,$I15)*
      IF($P15=1,
         $S15/12,
         IF(DF$4=1,
            $T15/12,
            IF(DF$4=$P15,
               $U15/12,
               1
      ))),0),
    ROUNDDOWN(
      DF15*IF(DF15*$I15&lt;=$L15,$J15,$I15)*
      IF($P15=1,
         $S15/12,
         IF(DF$4=1,
            $T15/12,
            IF(DF$4=$P15,
               $U15/12,
               1
      ))),0),
    ROUND(
      DF15*IF(DF15*$I15&lt;=$L15,$J15,$I15)*
      IF($P15=1,
         $S15/12,
         IF(DF$4=1,
            $T15/12,
            IF(DF$4=$P15,
               $U15/12,
               1
      ))),0)
))))</f>
        <v>-</v>
      </c>
      <c r="DH15" s="56" t="str">
        <f ca="1">IF($H15=リスト!$AA$4,"-",
   IF($C15="-","-",
     IF(DH$4&gt;$P15,"-",
       IF(DH$4=1,$E15,OFFSET(DH15,0,-2)-OFFSET(DH15,0,-1)
))))</f>
        <v>-</v>
      </c>
      <c r="DI15" s="57" t="str">
        <f>IF($H15=リスト!$AA$4,"-",
 IF($C15="-","-",
  IF(DH$4&gt;$P15,"-",
   CHOOSE(MATCH($H$3,リスト!$AE$3:$AE$5,0),
    ROUNDUP(
      DH15*IF(DH15*$I15&lt;=$L15,$J15,$I15)*
      IF($P15=1,
         $S15/12,
         IF(DH$4=1,
            $T15/12,
            IF(DH$4=$P15,
               $U15/12,
               1
      ))),0),
    ROUNDDOWN(
      DH15*IF(DH15*$I15&lt;=$L15,$J15,$I15)*
      IF($P15=1,
         $S15/12,
         IF(DH$4=1,
            $T15/12,
            IF(DH$4=$P15,
               $U15/12,
               1
      ))),0),
    ROUND(
      DH15*IF(DH15*$I15&lt;=$L15,$J15,$I15)*
      IF($P15=1,
         $S15/12,
         IF(DH$4=1,
            $T15/12,
            IF(DH$4=$P15,
               $U15/12,
               1
      ))),0)
))))</f>
        <v>-</v>
      </c>
      <c r="DJ15" s="56" t="str">
        <f ca="1">IF($H15=リスト!$AA$4,"-",
   IF($C15="-","-",
     IF(DJ$4&gt;$P15,"-",
       IF(DJ$4=1,$E15,OFFSET(DJ15,0,-2)-OFFSET(DJ15,0,-1)
))))</f>
        <v>-</v>
      </c>
      <c r="DK15" s="57" t="str">
        <f>IF($H15=リスト!$AA$4,"-",
 IF($C15="-","-",
  IF(DJ$4&gt;$P15,"-",
   CHOOSE(MATCH($H$3,リスト!$AE$3:$AE$5,0),
    ROUNDUP(
      DJ15*IF(DJ15*$I15&lt;=$L15,$J15,$I15)*
      IF($P15=1,
         $S15/12,
         IF(DJ$4=1,
            $T15/12,
            IF(DJ$4=$P15,
               $U15/12,
               1
      ))),0),
    ROUNDDOWN(
      DJ15*IF(DJ15*$I15&lt;=$L15,$J15,$I15)*
      IF($P15=1,
         $S15/12,
         IF(DJ$4=1,
            $T15/12,
            IF(DJ$4=$P15,
               $U15/12,
               1
      ))),0),
    ROUND(
      DJ15*IF(DJ15*$I15&lt;=$L15,$J15,$I15)*
      IF($P15=1,
         $S15/12,
         IF(DJ$4=1,
            $T15/12,
            IF(DJ$4=$P15,
               $U15/12,
               1
      ))),0)
))))</f>
        <v>-</v>
      </c>
      <c r="DL15" s="56" t="str">
        <f ca="1">IF($H15=リスト!$AA$4,"-",
   IF($C15="-","-",
     IF(DL$4&gt;$P15,"-",
       IF(DL$4=1,$E15,OFFSET(DL15,0,-2)-OFFSET(DL15,0,-1)
))))</f>
        <v>-</v>
      </c>
      <c r="DM15" s="57" t="str">
        <f>IF($H15=リスト!$AA$4,"-",
 IF($C15="-","-",
  IF(DL$4&gt;$P15,"-",
   CHOOSE(MATCH($H$3,リスト!$AE$3:$AE$5,0),
    ROUNDUP(
      DL15*IF(DL15*$I15&lt;=$L15,$J15,$I15)*
      IF($P15=1,
         $S15/12,
         IF(DL$4=1,
            $T15/12,
            IF(DL$4=$P15,
               $U15/12,
               1
      ))),0),
    ROUNDDOWN(
      DL15*IF(DL15*$I15&lt;=$L15,$J15,$I15)*
      IF($P15=1,
         $S15/12,
         IF(DL$4=1,
            $T15/12,
            IF(DL$4=$P15,
               $U15/12,
               1
      ))),0),
    ROUND(
      DL15*IF(DL15*$I15&lt;=$L15,$J15,$I15)*
      IF($P15=1,
         $S15/12,
         IF(DL$4=1,
            $T15/12,
            IF(DL$4=$P15,
               $U15/12,
               1
      ))),0)
))))</f>
        <v>-</v>
      </c>
      <c r="DN15" s="56" t="str">
        <f ca="1">IF($H15=リスト!$AA$4,"-",
   IF($C15="-","-",
     IF(DN$4&gt;$P15,"-",
       IF(DN$4=1,$E15,OFFSET(DN15,0,-2)-OFFSET(DN15,0,-1)
))))</f>
        <v>-</v>
      </c>
      <c r="DO15" s="57" t="str">
        <f>IF($H15=リスト!$AA$4,"-",
 IF($C15="-","-",
  IF(DN$4&gt;$P15,"-",
   CHOOSE(MATCH($H$3,リスト!$AE$3:$AE$5,0),
    ROUNDUP(
      DN15*IF(DN15*$I15&lt;=$L15,$J15,$I15)*
      IF($P15=1,
         $S15/12,
         IF(DN$4=1,
            $T15/12,
            IF(DN$4=$P15,
               $U15/12,
               1
      ))),0),
    ROUNDDOWN(
      DN15*IF(DN15*$I15&lt;=$L15,$J15,$I15)*
      IF($P15=1,
         $S15/12,
         IF(DN$4=1,
            $T15/12,
            IF(DN$4=$P15,
               $U15/12,
               1
      ))),0),
    ROUND(
      DN15*IF(DN15*$I15&lt;=$L15,$J15,$I15)*
      IF($P15=1,
         $S15/12,
         IF(DN$4=1,
            $T15/12,
            IF(DN$4=$P15,
               $U15/12,
               1
      ))),0)
))))</f>
        <v>-</v>
      </c>
      <c r="DP15" s="56" t="str">
        <f ca="1">IF($H15=リスト!$AA$4,"-",
   IF($C15="-","-",
     IF(DP$4&gt;$P15,"-",
       IF(DP$4=1,$E15,OFFSET(DP15,0,-2)-OFFSET(DP15,0,-1)
))))</f>
        <v>-</v>
      </c>
      <c r="DQ15" s="57" t="str">
        <f>IF($H15=リスト!$AA$4,"-",
 IF($C15="-","-",
  IF(DP$4&gt;$P15,"-",
   CHOOSE(MATCH($H$3,リスト!$AE$3:$AE$5,0),
    ROUNDUP(
      DP15*IF(DP15*$I15&lt;=$L15,$J15,$I15)*
      IF($P15=1,
         $S15/12,
         IF(DP$4=1,
            $T15/12,
            IF(DP$4=$P15,
               $U15/12,
               1
      ))),0),
    ROUNDDOWN(
      DP15*IF(DP15*$I15&lt;=$L15,$J15,$I15)*
      IF($P15=1,
         $S15/12,
         IF(DP$4=1,
            $T15/12,
            IF(DP$4=$P15,
               $U15/12,
               1
      ))),0),
    ROUND(
      DP15*IF(DP15*$I15&lt;=$L15,$J15,$I15)*
      IF($P15=1,
         $S15/12,
         IF(DP$4=1,
            $T15/12,
            IF(DP$4=$P15,
               $U15/12,
               1
      ))),0)
))))</f>
        <v>-</v>
      </c>
      <c r="DR15" s="56" t="str">
        <f ca="1">IF($H15=リスト!$AA$4,"-",
   IF($C15="-","-",
     IF(DR$4&gt;$P15,"-",
       IF(DR$4=1,$E15,OFFSET(DR15,0,-2)-OFFSET(DR15,0,-1)
))))</f>
        <v>-</v>
      </c>
      <c r="DS15" s="57" t="str">
        <f>IF($H15=リスト!$AA$4,"-",
 IF($C15="-","-",
  IF(DR$4&gt;$P15,"-",
   CHOOSE(MATCH($H$3,リスト!$AE$3:$AE$5,0),
    ROUNDUP(
      DR15*IF(DR15*$I15&lt;=$L15,$J15,$I15)*
      IF($P15=1,
         $S15/12,
         IF(DR$4=1,
            $T15/12,
            IF(DR$4=$P15,
               $U15/12,
               1
      ))),0),
    ROUNDDOWN(
      DR15*IF(DR15*$I15&lt;=$L15,$J15,$I15)*
      IF($P15=1,
         $S15/12,
         IF(DR$4=1,
            $T15/12,
            IF(DR$4=$P15,
               $U15/12,
               1
      ))),0),
    ROUND(
      DR15*IF(DR15*$I15&lt;=$L15,$J15,$I15)*
      IF($P15=1,
         $S15/12,
         IF(DR$4=1,
            $T15/12,
            IF(DR$4=$P15,
               $U15/12,
               1
      ))),0)
))))</f>
        <v>-</v>
      </c>
      <c r="DT15" s="56" t="str" cm="1">
        <f t="array" ref="DT15">IF($H15&lt;&gt;リスト!$AA$3,"-",$E15-SUMPRODUCT(IFERROR($Y15:$DS15*1,0), --(MOD(COLUMN($Y15:$DS15)-COLUMN($Y15),2)=0)))</f>
        <v>-</v>
      </c>
      <c r="DU15" s="56" t="str">
        <f>IF($H15&lt;&gt;リスト!$AA$4,"-",
    IF($H$3=リスト!$AE$3,$E15-ROUNDUP($E15*I15*$W15/12,0),
    IF($H$3=リスト!$AE$4,$E15-ROUNDDOWN($E15*I15*$W15/12,0),
    IF($H$3=リスト!$AE$5,$E15-ROUND($E15*I15*$W15/12,0),
    "-"))))</f>
        <v>-</v>
      </c>
    </row>
    <row r="16" spans="2:125">
      <c r="B16" s="54">
        <v>11</v>
      </c>
      <c r="C16" s="55" t="str">
        <f>IF(財産処分報告用!$C16="","-",財産処分報告用!$C16)</f>
        <v>-</v>
      </c>
      <c r="D16" s="55" t="str">
        <f>財産処分報告用!$E16</f>
        <v>-</v>
      </c>
      <c r="E16" s="56" t="str">
        <f>IF(財産処分報告用!$J16="","-",財産処分報告用!$J16)</f>
        <v>-</v>
      </c>
      <c r="F16" s="101" t="str">
        <f>IF(財産処分報告用!$K16="","-",財産処分報告用!$K16)</f>
        <v>-</v>
      </c>
      <c r="G16" s="101" t="str">
        <f>IF(財産処分報告用!$L16="","-",財産処分報告用!$L16)</f>
        <v>-</v>
      </c>
      <c r="H16" s="55" t="str">
        <f>IF(財産処分報告用!$M16="","-",財産処分報告用!$M16)</f>
        <v>-</v>
      </c>
      <c r="I16" s="55" t="str">
        <f>IF(OR($D16="-",$H16="-"),"-",INDEX(リスト!$AG$2:$AI$101,MATCH($D16,リスト!$AG$2:$AG$101,0),MATCH($H16,リスト!$AG$2:$AI$2,0)))</f>
        <v>-</v>
      </c>
      <c r="J16" s="55" t="str">
        <f>IF(OR($D16="-",$H16="-"),"-",IF($H16=リスト!$AA$4,"-",INDEX(リスト!$AG$2:$AK$101,MATCH($D16,リスト!$AG$2:$AG$101,0),4)))</f>
        <v>-</v>
      </c>
      <c r="K16" s="55" t="str">
        <f>IF(OR($D16="-",$H16="-"),"-",IF($H16=リスト!$AA$4,"-",INDEX(リスト!$AG$2:$AK$101,MATCH($D16,リスト!$AG$2:$AG$101,0),5)))</f>
        <v>-</v>
      </c>
      <c r="L16" s="55" t="str">
        <f t="shared" si="0"/>
        <v>-</v>
      </c>
      <c r="M16" s="101" t="str">
        <f t="shared" si="1"/>
        <v>-</v>
      </c>
      <c r="N16" s="101" t="str">
        <f t="shared" si="2"/>
        <v>-</v>
      </c>
      <c r="O16" s="101" t="str">
        <f t="shared" si="3"/>
        <v>-</v>
      </c>
      <c r="P16" s="102" t="str">
        <f t="shared" si="4"/>
        <v>-</v>
      </c>
      <c r="Q16" s="115" t="str">
        <f t="shared" si="5"/>
        <v>-</v>
      </c>
      <c r="R16" s="116" t="str">
        <f t="shared" si="6"/>
        <v>-</v>
      </c>
      <c r="S16" s="102" t="str">
        <f t="shared" si="7"/>
        <v>-</v>
      </c>
      <c r="T16" s="102" t="str">
        <f t="shared" si="8"/>
        <v>-</v>
      </c>
      <c r="U16" s="102" t="str">
        <f t="shared" si="9"/>
        <v>-</v>
      </c>
      <c r="V16" s="102" t="str">
        <f t="shared" si="10"/>
        <v>-</v>
      </c>
      <c r="W16" s="55" t="str">
        <f t="shared" si="11"/>
        <v>-</v>
      </c>
      <c r="X16" s="56" t="str">
        <f ca="1">IF($H16=リスト!$AA$4,"-",
   IF($C16="-","-",
     IF(X$4&gt;$P16,"-",
       IF(X$4=1,$E16,OFFSET(X16,0,-2)-OFFSET(X16,0,-1)
))))</f>
        <v>-</v>
      </c>
      <c r="Y16" s="57" t="str">
        <f>IF($H16=リスト!$AA$4,"-",
 IF($C16="-","-",
  IF(X$4&gt;$P16,"-",
   CHOOSE(MATCH($H$3,リスト!$AE$3:$AE$5,0),
    ROUNDUP(
      X16*IF(X16*$I16&lt;=$L16,$J16,$I16)*
      IF($P16=1,
         $S16/12,
         IF(X$4=1,
            $T16/12,
            IF(X$4=$P16,
               $U16/12,
               1
      ))),0),
    ROUNDDOWN(
      X16*IF(X16*$I16&lt;=$L16,$J16,$I16)*
      IF($P16=1,
         $S16/12,
         IF(X$4=1,
            $T16/12,
            IF(X$4=$P16,
               $U16/12,
               1
      ))),0),
    ROUND(
      X16*IF(X16*$I16&lt;=$L16,$J16,$I16)*
      IF($P16=1,
         $S16/12,
         IF(X$4=1,
            $T16/12,
            IF(X$4=$P16,
               $U16/12,
               1
      ))),0)
))))</f>
        <v>-</v>
      </c>
      <c r="Z16" s="56" t="str">
        <f ca="1">IF($H16=リスト!$AA$4,"-",
   IF($C16="-","-",
     IF(Z$4&gt;$P16,"-",
       IF(Z$4=1,$E16,OFFSET(Z16,0,-2)-OFFSET(Z16,0,-1)
))))</f>
        <v>-</v>
      </c>
      <c r="AA16" s="57" t="str">
        <f>IF($H16=リスト!$AA$4,"-",
 IF($C16="-","-",
  IF(Z$4&gt;$P16,"-",
   CHOOSE(MATCH($H$3,リスト!$AE$3:$AE$5,0),
    ROUNDUP(
      Z16*IF(Z16*$I16&lt;=$L16,$J16,$I16)*
      IF($P16=1,
         $S16/12,
         IF(Z$4=1,
            $T16/12,
            IF(Z$4=$P16,
               $U16/12,
               1
      ))),0),
    ROUNDDOWN(
      Z16*IF(Z16*$I16&lt;=$L16,$J16,$I16)*
      IF($P16=1,
         $S16/12,
         IF(Z$4=1,
            $T16/12,
            IF(Z$4=$P16,
               $U16/12,
               1
      ))),0),
    ROUND(
      Z16*IF(Z16*$I16&lt;=$L16,$J16,$I16)*
      IF($P16=1,
         $S16/12,
         IF(Z$4=1,
            $T16/12,
            IF(Z$4=$P16,
               $U16/12,
               1
      ))),0)
))))</f>
        <v>-</v>
      </c>
      <c r="AB16" s="56" t="str">
        <f ca="1">IF($H16=リスト!$AA$4,"-",
   IF($C16="-","-",
     IF(AB$4&gt;$P16,"-",
       IF(AB$4=1,$E16,OFFSET(AB16,0,-2)-OFFSET(AB16,0,-1)
))))</f>
        <v>-</v>
      </c>
      <c r="AC16" s="57" t="str">
        <f>IF($H16=リスト!$AA$4,"-",
 IF($C16="-","-",
  IF(AB$4&gt;$P16,"-",
   CHOOSE(MATCH($H$3,リスト!$AE$3:$AE$5,0),
    ROUNDUP(
      AB16*IF(AB16*$I16&lt;=$L16,$J16,$I16)*
      IF($P16=1,
         $S16/12,
         IF(AB$4=1,
            $T16/12,
            IF(AB$4=$P16,
               $U16/12,
               1
      ))),0),
    ROUNDDOWN(
      AB16*IF(AB16*$I16&lt;=$L16,$J16,$I16)*
      IF($P16=1,
         $S16/12,
         IF(AB$4=1,
            $T16/12,
            IF(AB$4=$P16,
               $U16/12,
               1
      ))),0),
    ROUND(
      AB16*IF(AB16*$I16&lt;=$L16,$J16,$I16)*
      IF($P16=1,
         $S16/12,
         IF(AB$4=1,
            $T16/12,
            IF(AB$4=$P16,
               $U16/12,
               1
      ))),0)
))))</f>
        <v>-</v>
      </c>
      <c r="AD16" s="56" t="str">
        <f ca="1">IF($H16=リスト!$AA$4,"-",
   IF($C16="-","-",
     IF(AD$4&gt;$P16,"-",
       IF(AD$4=1,$E16,OFFSET(AD16,0,-2)-OFFSET(AD16,0,-1)
))))</f>
        <v>-</v>
      </c>
      <c r="AE16" s="57" t="str">
        <f>IF($H16=リスト!$AA$4,"-",
 IF($C16="-","-",
  IF(AD$4&gt;$P16,"-",
   CHOOSE(MATCH($H$3,リスト!$AE$3:$AE$5,0),
    ROUNDUP(
      AD16*IF(AD16*$I16&lt;=$L16,$J16,$I16)*
      IF($P16=1,
         $S16/12,
         IF(AD$4=1,
            $T16/12,
            IF(AD$4=$P16,
               $U16/12,
               1
      ))),0),
    ROUNDDOWN(
      AD16*IF(AD16*$I16&lt;=$L16,$J16,$I16)*
      IF($P16=1,
         $S16/12,
         IF(AD$4=1,
            $T16/12,
            IF(AD$4=$P16,
               $U16/12,
               1
      ))),0),
    ROUND(
      AD16*IF(AD16*$I16&lt;=$L16,$J16,$I16)*
      IF($P16=1,
         $S16/12,
         IF(AD$4=1,
            $T16/12,
            IF(AD$4=$P16,
               $U16/12,
               1
      ))),0)
))))</f>
        <v>-</v>
      </c>
      <c r="AF16" s="56" t="str">
        <f ca="1">IF($H16=リスト!$AA$4,"-",
   IF($C16="-","-",
     IF(AF$4&gt;$P16,"-",
       IF(AF$4=1,$E16,OFFSET(AF16,0,-2)-OFFSET(AF16,0,-1)
))))</f>
        <v>-</v>
      </c>
      <c r="AG16" s="57" t="str">
        <f>IF($H16=リスト!$AA$4,"-",
 IF($C16="-","-",
  IF(AF$4&gt;$P16,"-",
   CHOOSE(MATCH($H$3,リスト!$AE$3:$AE$5,0),
    ROUNDUP(
      AF16*IF(AF16*$I16&lt;=$L16,$J16,$I16)*
      IF($P16=1,
         $S16/12,
         IF(AF$4=1,
            $T16/12,
            IF(AF$4=$P16,
               $U16/12,
               1
      ))),0),
    ROUNDDOWN(
      AF16*IF(AF16*$I16&lt;=$L16,$J16,$I16)*
      IF($P16=1,
         $S16/12,
         IF(AF$4=1,
            $T16/12,
            IF(AF$4=$P16,
               $U16/12,
               1
      ))),0),
    ROUND(
      AF16*IF(AF16*$I16&lt;=$L16,$J16,$I16)*
      IF($P16=1,
         $S16/12,
         IF(AF$4=1,
            $T16/12,
            IF(AF$4=$P16,
               $U16/12,
               1
      ))),0)
))))</f>
        <v>-</v>
      </c>
      <c r="AH16" s="56" t="str">
        <f ca="1">IF($H16=リスト!$AA$4,"-",
   IF($C16="-","-",
     IF(AH$4&gt;$P16,"-",
       IF(AH$4=1,$E16,OFFSET(AH16,0,-2)-OFFSET(AH16,0,-1)
))))</f>
        <v>-</v>
      </c>
      <c r="AI16" s="57" t="str">
        <f>IF($H16=リスト!$AA$4,"-",
 IF($C16="-","-",
  IF(AH$4&gt;$P16,"-",
   CHOOSE(MATCH($H$3,リスト!$AE$3:$AE$5,0),
    ROUNDUP(
      AH16*IF(AH16*$I16&lt;=$L16,$J16,$I16)*
      IF($P16=1,
         $S16/12,
         IF(AH$4=1,
            $T16/12,
            IF(AH$4=$P16,
               $U16/12,
               1
      ))),0),
    ROUNDDOWN(
      AH16*IF(AH16*$I16&lt;=$L16,$J16,$I16)*
      IF($P16=1,
         $S16/12,
         IF(AH$4=1,
            $T16/12,
            IF(AH$4=$P16,
               $U16/12,
               1
      ))),0),
    ROUND(
      AH16*IF(AH16*$I16&lt;=$L16,$J16,$I16)*
      IF($P16=1,
         $S16/12,
         IF(AH$4=1,
            $T16/12,
            IF(AH$4=$P16,
               $U16/12,
               1
      ))),0)
))))</f>
        <v>-</v>
      </c>
      <c r="AJ16" s="56" t="str">
        <f ca="1">IF($H16=リスト!$AA$4,"-",
   IF($C16="-","-",
     IF(AJ$4&gt;$P16,"-",
       IF(AJ$4=1,$E16,OFFSET(AJ16,0,-2)-OFFSET(AJ16,0,-1)
))))</f>
        <v>-</v>
      </c>
      <c r="AK16" s="57" t="str">
        <f>IF($H16=リスト!$AA$4,"-",
 IF($C16="-","-",
  IF(AJ$4&gt;$P16,"-",
   CHOOSE(MATCH($H$3,リスト!$AE$3:$AE$5,0),
    ROUNDUP(
      AJ16*IF(AJ16*$I16&lt;=$L16,$J16,$I16)*
      IF($P16=1,
         $S16/12,
         IF(AJ$4=1,
            $T16/12,
            IF(AJ$4=$P16,
               $U16/12,
               1
      ))),0),
    ROUNDDOWN(
      AJ16*IF(AJ16*$I16&lt;=$L16,$J16,$I16)*
      IF($P16=1,
         $S16/12,
         IF(AJ$4=1,
            $T16/12,
            IF(AJ$4=$P16,
               $U16/12,
               1
      ))),0),
    ROUND(
      AJ16*IF(AJ16*$I16&lt;=$L16,$J16,$I16)*
      IF($P16=1,
         $S16/12,
         IF(AJ$4=1,
            $T16/12,
            IF(AJ$4=$P16,
               $U16/12,
               1
      ))),0)
))))</f>
        <v>-</v>
      </c>
      <c r="AL16" s="56" t="str">
        <f ca="1">IF($H16=リスト!$AA$4,"-",
   IF($C16="-","-",
     IF(AL$4&gt;$P16,"-",
       IF(AL$4=1,$E16,OFFSET(AL16,0,-2)-OFFSET(AL16,0,-1)
))))</f>
        <v>-</v>
      </c>
      <c r="AM16" s="57" t="str">
        <f>IF($H16=リスト!$AA$4,"-",
 IF($C16="-","-",
  IF(AL$4&gt;$P16,"-",
   CHOOSE(MATCH($H$3,リスト!$AE$3:$AE$5,0),
    ROUNDUP(
      AL16*IF(AL16*$I16&lt;=$L16,$J16,$I16)*
      IF($P16=1,
         $S16/12,
         IF(AL$4=1,
            $T16/12,
            IF(AL$4=$P16,
               $U16/12,
               1
      ))),0),
    ROUNDDOWN(
      AL16*IF(AL16*$I16&lt;=$L16,$J16,$I16)*
      IF($P16=1,
         $S16/12,
         IF(AL$4=1,
            $T16/12,
            IF(AL$4=$P16,
               $U16/12,
               1
      ))),0),
    ROUND(
      AL16*IF(AL16*$I16&lt;=$L16,$J16,$I16)*
      IF($P16=1,
         $S16/12,
         IF(AL$4=1,
            $T16/12,
            IF(AL$4=$P16,
               $U16/12,
               1
      ))),0)
))))</f>
        <v>-</v>
      </c>
      <c r="AN16" s="56" t="str">
        <f ca="1">IF($H16=リスト!$AA$4,"-",
   IF($C16="-","-",
     IF(AN$4&gt;$P16,"-",
       IF(AN$4=1,$E16,OFFSET(AN16,0,-2)-OFFSET(AN16,0,-1)
))))</f>
        <v>-</v>
      </c>
      <c r="AO16" s="57" t="str">
        <f>IF($H16=リスト!$AA$4,"-",
 IF($C16="-","-",
  IF(AN$4&gt;$P16,"-",
   CHOOSE(MATCH($H$3,リスト!$AE$3:$AE$5,0),
    ROUNDUP(
      AN16*IF(AN16*$I16&lt;=$L16,$J16,$I16)*
      IF($P16=1,
         $S16/12,
         IF(AN$4=1,
            $T16/12,
            IF(AN$4=$P16,
               $U16/12,
               1
      ))),0),
    ROUNDDOWN(
      AN16*IF(AN16*$I16&lt;=$L16,$J16,$I16)*
      IF($P16=1,
         $S16/12,
         IF(AN$4=1,
            $T16/12,
            IF(AN$4=$P16,
               $U16/12,
               1
      ))),0),
    ROUND(
      AN16*IF(AN16*$I16&lt;=$L16,$J16,$I16)*
      IF($P16=1,
         $S16/12,
         IF(AN$4=1,
            $T16/12,
            IF(AN$4=$P16,
               $U16/12,
               1
      ))),0)
))))</f>
        <v>-</v>
      </c>
      <c r="AP16" s="56" t="str">
        <f ca="1">IF($H16=リスト!$AA$4,"-",
   IF($C16="-","-",
     IF(AP$4&gt;$P16,"-",
       IF(AP$4=1,$E16,OFFSET(AP16,0,-2)-OFFSET(AP16,0,-1)
))))</f>
        <v>-</v>
      </c>
      <c r="AQ16" s="57" t="str">
        <f>IF($H16=リスト!$AA$4,"-",
 IF($C16="-","-",
  IF(AP$4&gt;$P16,"-",
   CHOOSE(MATCH($H$3,リスト!$AE$3:$AE$5,0),
    ROUNDUP(
      AP16*IF(AP16*$I16&lt;=$L16,$J16,$I16)*
      IF($P16=1,
         $S16/12,
         IF(AP$4=1,
            $T16/12,
            IF(AP$4=$P16,
               $U16/12,
               1
      ))),0),
    ROUNDDOWN(
      AP16*IF(AP16*$I16&lt;=$L16,$J16,$I16)*
      IF($P16=1,
         $S16/12,
         IF(AP$4=1,
            $T16/12,
            IF(AP$4=$P16,
               $U16/12,
               1
      ))),0),
    ROUND(
      AP16*IF(AP16*$I16&lt;=$L16,$J16,$I16)*
      IF($P16=1,
         $S16/12,
         IF(AP$4=1,
            $T16/12,
            IF(AP$4=$P16,
               $U16/12,
               1
      ))),0)
))))</f>
        <v>-</v>
      </c>
      <c r="AR16" s="56" t="str">
        <f ca="1">IF($H16=リスト!$AA$4,"-",
   IF($C16="-","-",
     IF(AR$4&gt;$P16,"-",
       IF(AR$4=1,$E16,OFFSET(AR16,0,-2)-OFFSET(AR16,0,-1)
))))</f>
        <v>-</v>
      </c>
      <c r="AS16" s="57" t="str">
        <f>IF($H16=リスト!$AA$4,"-",
 IF($C16="-","-",
  IF(AR$4&gt;$P16,"-",
   CHOOSE(MATCH($H$3,リスト!$AE$3:$AE$5,0),
    ROUNDUP(
      AR16*IF(AR16*$I16&lt;=$L16,$J16,$I16)*
      IF($P16=1,
         $S16/12,
         IF(AR$4=1,
            $T16/12,
            IF(AR$4=$P16,
               $U16/12,
               1
      ))),0),
    ROUNDDOWN(
      AR16*IF(AR16*$I16&lt;=$L16,$J16,$I16)*
      IF($P16=1,
         $S16/12,
         IF(AR$4=1,
            $T16/12,
            IF(AR$4=$P16,
               $U16/12,
               1
      ))),0),
    ROUND(
      AR16*IF(AR16*$I16&lt;=$L16,$J16,$I16)*
      IF($P16=1,
         $S16/12,
         IF(AR$4=1,
            $T16/12,
            IF(AR$4=$P16,
               $U16/12,
               1
      ))),0)
))))</f>
        <v>-</v>
      </c>
      <c r="AT16" s="56" t="str">
        <f ca="1">IF($H16=リスト!$AA$4,"-",
   IF($C16="-","-",
     IF(AT$4&gt;$P16,"-",
       IF(AT$4=1,$E16,OFFSET(AT16,0,-2)-OFFSET(AT16,0,-1)
))))</f>
        <v>-</v>
      </c>
      <c r="AU16" s="57" t="str">
        <f>IF($H16=リスト!$AA$4,"-",
 IF($C16="-","-",
  IF(AT$4&gt;$P16,"-",
   CHOOSE(MATCH($H$3,リスト!$AE$3:$AE$5,0),
    ROUNDUP(
      AT16*IF(AT16*$I16&lt;=$L16,$J16,$I16)*
      IF($P16=1,
         $S16/12,
         IF(AT$4=1,
            $T16/12,
            IF(AT$4=$P16,
               $U16/12,
               1
      ))),0),
    ROUNDDOWN(
      AT16*IF(AT16*$I16&lt;=$L16,$J16,$I16)*
      IF($P16=1,
         $S16/12,
         IF(AT$4=1,
            $T16/12,
            IF(AT$4=$P16,
               $U16/12,
               1
      ))),0),
    ROUND(
      AT16*IF(AT16*$I16&lt;=$L16,$J16,$I16)*
      IF($P16=1,
         $S16/12,
         IF(AT$4=1,
            $T16/12,
            IF(AT$4=$P16,
               $U16/12,
               1
      ))),0)
))))</f>
        <v>-</v>
      </c>
      <c r="AV16" s="56" t="str">
        <f ca="1">IF($H16=リスト!$AA$4,"-",
   IF($C16="-","-",
     IF(AV$4&gt;$P16,"-",
       IF(AV$4=1,$E16,OFFSET(AV16,0,-2)-OFFSET(AV16,0,-1)
))))</f>
        <v>-</v>
      </c>
      <c r="AW16" s="57" t="str">
        <f>IF($H16=リスト!$AA$4,"-",
 IF($C16="-","-",
  IF(AV$4&gt;$P16,"-",
   CHOOSE(MATCH($H$3,リスト!$AE$3:$AE$5,0),
    ROUNDUP(
      AV16*IF(AV16*$I16&lt;=$L16,$J16,$I16)*
      IF($P16=1,
         $S16/12,
         IF(AV$4=1,
            $T16/12,
            IF(AV$4=$P16,
               $U16/12,
               1
      ))),0),
    ROUNDDOWN(
      AV16*IF(AV16*$I16&lt;=$L16,$J16,$I16)*
      IF($P16=1,
         $S16/12,
         IF(AV$4=1,
            $T16/12,
            IF(AV$4=$P16,
               $U16/12,
               1
      ))),0),
    ROUND(
      AV16*IF(AV16*$I16&lt;=$L16,$J16,$I16)*
      IF($P16=1,
         $S16/12,
         IF(AV$4=1,
            $T16/12,
            IF(AV$4=$P16,
               $U16/12,
               1
      ))),0)
))))</f>
        <v>-</v>
      </c>
      <c r="AX16" s="56" t="str">
        <f ca="1">IF($H16=リスト!$AA$4,"-",
   IF($C16="-","-",
     IF(AX$4&gt;$P16,"-",
       IF(AX$4=1,$E16,OFFSET(AX16,0,-2)-OFFSET(AX16,0,-1)
))))</f>
        <v>-</v>
      </c>
      <c r="AY16" s="57" t="str">
        <f>IF($H16=リスト!$AA$4,"-",
 IF($C16="-","-",
  IF(AX$4&gt;$P16,"-",
   CHOOSE(MATCH($H$3,リスト!$AE$3:$AE$5,0),
    ROUNDUP(
      AX16*IF(AX16*$I16&lt;=$L16,$J16,$I16)*
      IF($P16=1,
         $S16/12,
         IF(AX$4=1,
            $T16/12,
            IF(AX$4=$P16,
               $U16/12,
               1
      ))),0),
    ROUNDDOWN(
      AX16*IF(AX16*$I16&lt;=$L16,$J16,$I16)*
      IF($P16=1,
         $S16/12,
         IF(AX$4=1,
            $T16/12,
            IF(AX$4=$P16,
               $U16/12,
               1
      ))),0),
    ROUND(
      AX16*IF(AX16*$I16&lt;=$L16,$J16,$I16)*
      IF($P16=1,
         $S16/12,
         IF(AX$4=1,
            $T16/12,
            IF(AX$4=$P16,
               $U16/12,
               1
      ))),0)
))))</f>
        <v>-</v>
      </c>
      <c r="AZ16" s="56" t="str">
        <f ca="1">IF($H16=リスト!$AA$4,"-",
   IF($C16="-","-",
     IF(AZ$4&gt;$P16,"-",
       IF(AZ$4=1,$E16,OFFSET(AZ16,0,-2)-OFFSET(AZ16,0,-1)
))))</f>
        <v>-</v>
      </c>
      <c r="BA16" s="57" t="str">
        <f>IF($H16=リスト!$AA$4,"-",
 IF($C16="-","-",
  IF(AZ$4&gt;$P16,"-",
   CHOOSE(MATCH($H$3,リスト!$AE$3:$AE$5,0),
    ROUNDUP(
      AZ16*IF(AZ16*$I16&lt;=$L16,$J16,$I16)*
      IF($P16=1,
         $S16/12,
         IF(AZ$4=1,
            $T16/12,
            IF(AZ$4=$P16,
               $U16/12,
               1
      ))),0),
    ROUNDDOWN(
      AZ16*IF(AZ16*$I16&lt;=$L16,$J16,$I16)*
      IF($P16=1,
         $S16/12,
         IF(AZ$4=1,
            $T16/12,
            IF(AZ$4=$P16,
               $U16/12,
               1
      ))),0),
    ROUND(
      AZ16*IF(AZ16*$I16&lt;=$L16,$J16,$I16)*
      IF($P16=1,
         $S16/12,
         IF(AZ$4=1,
            $T16/12,
            IF(AZ$4=$P16,
               $U16/12,
               1
      ))),0)
))))</f>
        <v>-</v>
      </c>
      <c r="BB16" s="56" t="str">
        <f ca="1">IF($H16=リスト!$AA$4,"-",
   IF($C16="-","-",
     IF(BB$4&gt;$P16,"-",
       IF(BB$4=1,$E16,OFFSET(BB16,0,-2)-OFFSET(BB16,0,-1)
))))</f>
        <v>-</v>
      </c>
      <c r="BC16" s="57" t="str">
        <f>IF($H16=リスト!$AA$4,"-",
 IF($C16="-","-",
  IF(BB$4&gt;$P16,"-",
   CHOOSE(MATCH($H$3,リスト!$AE$3:$AE$5,0),
    ROUNDUP(
      BB16*IF(BB16*$I16&lt;=$L16,$J16,$I16)*
      IF($P16=1,
         $S16/12,
         IF(BB$4=1,
            $T16/12,
            IF(BB$4=$P16,
               $U16/12,
               1
      ))),0),
    ROUNDDOWN(
      BB16*IF(BB16*$I16&lt;=$L16,$J16,$I16)*
      IF($P16=1,
         $S16/12,
         IF(BB$4=1,
            $T16/12,
            IF(BB$4=$P16,
               $U16/12,
               1
      ))),0),
    ROUND(
      BB16*IF(BB16*$I16&lt;=$L16,$J16,$I16)*
      IF($P16=1,
         $S16/12,
         IF(BB$4=1,
            $T16/12,
            IF(BB$4=$P16,
               $U16/12,
               1
      ))),0)
))))</f>
        <v>-</v>
      </c>
      <c r="BD16" s="56" t="str">
        <f ca="1">IF($H16=リスト!$AA$4,"-",
   IF($C16="-","-",
     IF(BD$4&gt;$P16,"-",
       IF(BD$4=1,$E16,OFFSET(BD16,0,-2)-OFFSET(BD16,0,-1)
))))</f>
        <v>-</v>
      </c>
      <c r="BE16" s="57" t="str">
        <f>IF($H16=リスト!$AA$4,"-",
 IF($C16="-","-",
  IF(BD$4&gt;$P16,"-",
   CHOOSE(MATCH($H$3,リスト!$AE$3:$AE$5,0),
    ROUNDUP(
      BD16*IF(BD16*$I16&lt;=$L16,$J16,$I16)*
      IF($P16=1,
         $S16/12,
         IF(BD$4=1,
            $T16/12,
            IF(BD$4=$P16,
               $U16/12,
               1
      ))),0),
    ROUNDDOWN(
      BD16*IF(BD16*$I16&lt;=$L16,$J16,$I16)*
      IF($P16=1,
         $S16/12,
         IF(BD$4=1,
            $T16/12,
            IF(BD$4=$P16,
               $U16/12,
               1
      ))),0),
    ROUND(
      BD16*IF(BD16*$I16&lt;=$L16,$J16,$I16)*
      IF($P16=1,
         $S16/12,
         IF(BD$4=1,
            $T16/12,
            IF(BD$4=$P16,
               $U16/12,
               1
      ))),0)
))))</f>
        <v>-</v>
      </c>
      <c r="BF16" s="56" t="str">
        <f ca="1">IF($H16=リスト!$AA$4,"-",
   IF($C16="-","-",
     IF(BF$4&gt;$P16,"-",
       IF(BF$4=1,$E16,OFFSET(BF16,0,-2)-OFFSET(BF16,0,-1)
))))</f>
        <v>-</v>
      </c>
      <c r="BG16" s="57" t="str">
        <f>IF($H16=リスト!$AA$4,"-",
 IF($C16="-","-",
  IF(BF$4&gt;$P16,"-",
   CHOOSE(MATCH($H$3,リスト!$AE$3:$AE$5,0),
    ROUNDUP(
      BF16*IF(BF16*$I16&lt;=$L16,$J16,$I16)*
      IF($P16=1,
         $S16/12,
         IF(BF$4=1,
            $T16/12,
            IF(BF$4=$P16,
               $U16/12,
               1
      ))),0),
    ROUNDDOWN(
      BF16*IF(BF16*$I16&lt;=$L16,$J16,$I16)*
      IF($P16=1,
         $S16/12,
         IF(BF$4=1,
            $T16/12,
            IF(BF$4=$P16,
               $U16/12,
               1
      ))),0),
    ROUND(
      BF16*IF(BF16*$I16&lt;=$L16,$J16,$I16)*
      IF($P16=1,
         $S16/12,
         IF(BF$4=1,
            $T16/12,
            IF(BF$4=$P16,
               $U16/12,
               1
      ))),0)
))))</f>
        <v>-</v>
      </c>
      <c r="BH16" s="56" t="str">
        <f ca="1">IF($H16=リスト!$AA$4,"-",
   IF($C16="-","-",
     IF(BH$4&gt;$P16,"-",
       IF(BH$4=1,$E16,OFFSET(BH16,0,-2)-OFFSET(BH16,0,-1)
))))</f>
        <v>-</v>
      </c>
      <c r="BI16" s="57" t="str">
        <f>IF($H16=リスト!$AA$4,"-",
 IF($C16="-","-",
  IF(BH$4&gt;$P16,"-",
   CHOOSE(MATCH($H$3,リスト!$AE$3:$AE$5,0),
    ROUNDUP(
      BH16*IF(BH16*$I16&lt;=$L16,$J16,$I16)*
      IF($P16=1,
         $S16/12,
         IF(BH$4=1,
            $T16/12,
            IF(BH$4=$P16,
               $U16/12,
               1
      ))),0),
    ROUNDDOWN(
      BH16*IF(BH16*$I16&lt;=$L16,$J16,$I16)*
      IF($P16=1,
         $S16/12,
         IF(BH$4=1,
            $T16/12,
            IF(BH$4=$P16,
               $U16/12,
               1
      ))),0),
    ROUND(
      BH16*IF(BH16*$I16&lt;=$L16,$J16,$I16)*
      IF($P16=1,
         $S16/12,
         IF(BH$4=1,
            $T16/12,
            IF(BH$4=$P16,
               $U16/12,
               1
      ))),0)
))))</f>
        <v>-</v>
      </c>
      <c r="BJ16" s="56" t="str">
        <f ca="1">IF($H16=リスト!$AA$4,"-",
   IF($C16="-","-",
     IF(BJ$4&gt;$P16,"-",
       IF(BJ$4=1,$E16,OFFSET(BJ16,0,-2)-OFFSET(BJ16,0,-1)
))))</f>
        <v>-</v>
      </c>
      <c r="BK16" s="57" t="str">
        <f>IF($H16=リスト!$AA$4,"-",
 IF($C16="-","-",
  IF(BJ$4&gt;$P16,"-",
   CHOOSE(MATCH($H$3,リスト!$AE$3:$AE$5,0),
    ROUNDUP(
      BJ16*IF(BJ16*$I16&lt;=$L16,$J16,$I16)*
      IF($P16=1,
         $S16/12,
         IF(BJ$4=1,
            $T16/12,
            IF(BJ$4=$P16,
               $U16/12,
               1
      ))),0),
    ROUNDDOWN(
      BJ16*IF(BJ16*$I16&lt;=$L16,$J16,$I16)*
      IF($P16=1,
         $S16/12,
         IF(BJ$4=1,
            $T16/12,
            IF(BJ$4=$P16,
               $U16/12,
               1
      ))),0),
    ROUND(
      BJ16*IF(BJ16*$I16&lt;=$L16,$J16,$I16)*
      IF($P16=1,
         $S16/12,
         IF(BJ$4=1,
            $T16/12,
            IF(BJ$4=$P16,
               $U16/12,
               1
      ))),0)
))))</f>
        <v>-</v>
      </c>
      <c r="BL16" s="56" t="str">
        <f ca="1">IF($H16=リスト!$AA$4,"-",
   IF($C16="-","-",
     IF(BL$4&gt;$P16,"-",
       IF(BL$4=1,$E16,OFFSET(BL16,0,-2)-OFFSET(BL16,0,-1)
))))</f>
        <v>-</v>
      </c>
      <c r="BM16" s="57" t="str">
        <f>IF($H16=リスト!$AA$4,"-",
 IF($C16="-","-",
  IF(BL$4&gt;$P16,"-",
   CHOOSE(MATCH($H$3,リスト!$AE$3:$AE$5,0),
    ROUNDUP(
      BL16*IF(BL16*$I16&lt;=$L16,$J16,$I16)*
      IF($P16=1,
         $S16/12,
         IF(BL$4=1,
            $T16/12,
            IF(BL$4=$P16,
               $U16/12,
               1
      ))),0),
    ROUNDDOWN(
      BL16*IF(BL16*$I16&lt;=$L16,$J16,$I16)*
      IF($P16=1,
         $S16/12,
         IF(BL$4=1,
            $T16/12,
            IF(BL$4=$P16,
               $U16/12,
               1
      ))),0),
    ROUND(
      BL16*IF(BL16*$I16&lt;=$L16,$J16,$I16)*
      IF($P16=1,
         $S16/12,
         IF(BL$4=1,
            $T16/12,
            IF(BL$4=$P16,
               $U16/12,
               1
      ))),0)
))))</f>
        <v>-</v>
      </c>
      <c r="BN16" s="56" t="str">
        <f ca="1">IF($H16=リスト!$AA$4,"-",
   IF($C16="-","-",
     IF(BN$4&gt;$P16,"-",
       IF(BN$4=1,$E16,OFFSET(BN16,0,-2)-OFFSET(BN16,0,-1)
))))</f>
        <v>-</v>
      </c>
      <c r="BO16" s="57" t="str">
        <f>IF($H16=リスト!$AA$4,"-",
 IF($C16="-","-",
  IF(BN$4&gt;$P16,"-",
   CHOOSE(MATCH($H$3,リスト!$AE$3:$AE$5,0),
    ROUNDUP(
      BN16*IF(BN16*$I16&lt;=$L16,$J16,$I16)*
      IF($P16=1,
         $S16/12,
         IF(BN$4=1,
            $T16/12,
            IF(BN$4=$P16,
               $U16/12,
               1
      ))),0),
    ROUNDDOWN(
      BN16*IF(BN16*$I16&lt;=$L16,$J16,$I16)*
      IF($P16=1,
         $S16/12,
         IF(BN$4=1,
            $T16/12,
            IF(BN$4=$P16,
               $U16/12,
               1
      ))),0),
    ROUND(
      BN16*IF(BN16*$I16&lt;=$L16,$J16,$I16)*
      IF($P16=1,
         $S16/12,
         IF(BN$4=1,
            $T16/12,
            IF(BN$4=$P16,
               $U16/12,
               1
      ))),0)
))))</f>
        <v>-</v>
      </c>
      <c r="BP16" s="56" t="str">
        <f ca="1">IF($H16=リスト!$AA$4,"-",
   IF($C16="-","-",
     IF(BP$4&gt;$P16,"-",
       IF(BP$4=1,$E16,OFFSET(BP16,0,-2)-OFFSET(BP16,0,-1)
))))</f>
        <v>-</v>
      </c>
      <c r="BQ16" s="57" t="str">
        <f>IF($H16=リスト!$AA$4,"-",
 IF($C16="-","-",
  IF(BP$4&gt;$P16,"-",
   CHOOSE(MATCH($H$3,リスト!$AE$3:$AE$5,0),
    ROUNDUP(
      BP16*IF(BP16*$I16&lt;=$L16,$J16,$I16)*
      IF($P16=1,
         $S16/12,
         IF(BP$4=1,
            $T16/12,
            IF(BP$4=$P16,
               $U16/12,
               1
      ))),0),
    ROUNDDOWN(
      BP16*IF(BP16*$I16&lt;=$L16,$J16,$I16)*
      IF($P16=1,
         $S16/12,
         IF(BP$4=1,
            $T16/12,
            IF(BP$4=$P16,
               $U16/12,
               1
      ))),0),
    ROUND(
      BP16*IF(BP16*$I16&lt;=$L16,$J16,$I16)*
      IF($P16=1,
         $S16/12,
         IF(BP$4=1,
            $T16/12,
            IF(BP$4=$P16,
               $U16/12,
               1
      ))),0)
))))</f>
        <v>-</v>
      </c>
      <c r="BR16" s="56" t="str">
        <f ca="1">IF($H16=リスト!$AA$4,"-",
   IF($C16="-","-",
     IF(BR$4&gt;$P16,"-",
       IF(BR$4=1,$E16,OFFSET(BR16,0,-2)-OFFSET(BR16,0,-1)
))))</f>
        <v>-</v>
      </c>
      <c r="BS16" s="57" t="str">
        <f>IF($H16=リスト!$AA$4,"-",
 IF($C16="-","-",
  IF(BR$4&gt;$P16,"-",
   CHOOSE(MATCH($H$3,リスト!$AE$3:$AE$5,0),
    ROUNDUP(
      BR16*IF(BR16*$I16&lt;=$L16,$J16,$I16)*
      IF($P16=1,
         $S16/12,
         IF(BR$4=1,
            $T16/12,
            IF(BR$4=$P16,
               $U16/12,
               1
      ))),0),
    ROUNDDOWN(
      BR16*IF(BR16*$I16&lt;=$L16,$J16,$I16)*
      IF($P16=1,
         $S16/12,
         IF(BR$4=1,
            $T16/12,
            IF(BR$4=$P16,
               $U16/12,
               1
      ))),0),
    ROUND(
      BR16*IF(BR16*$I16&lt;=$L16,$J16,$I16)*
      IF($P16=1,
         $S16/12,
         IF(BR$4=1,
            $T16/12,
            IF(BR$4=$P16,
               $U16/12,
               1
      ))),0)
))))</f>
        <v>-</v>
      </c>
      <c r="BT16" s="56" t="str">
        <f ca="1">IF($H16=リスト!$AA$4,"-",
   IF($C16="-","-",
     IF(BT$4&gt;$P16,"-",
       IF(BT$4=1,$E16,OFFSET(BT16,0,-2)-OFFSET(BT16,0,-1)
))))</f>
        <v>-</v>
      </c>
      <c r="BU16" s="57" t="str">
        <f>IF($H16=リスト!$AA$4,"-",
 IF($C16="-","-",
  IF(BT$4&gt;$P16,"-",
   CHOOSE(MATCH($H$3,リスト!$AE$3:$AE$5,0),
    ROUNDUP(
      BT16*IF(BT16*$I16&lt;=$L16,$J16,$I16)*
      IF($P16=1,
         $S16/12,
         IF(BT$4=1,
            $T16/12,
            IF(BT$4=$P16,
               $U16/12,
               1
      ))),0),
    ROUNDDOWN(
      BT16*IF(BT16*$I16&lt;=$L16,$J16,$I16)*
      IF($P16=1,
         $S16/12,
         IF(BT$4=1,
            $T16/12,
            IF(BT$4=$P16,
               $U16/12,
               1
      ))),0),
    ROUND(
      BT16*IF(BT16*$I16&lt;=$L16,$J16,$I16)*
      IF($P16=1,
         $S16/12,
         IF(BT$4=1,
            $T16/12,
            IF(BT$4=$P16,
               $U16/12,
               1
      ))),0)
))))</f>
        <v>-</v>
      </c>
      <c r="BV16" s="56" t="str">
        <f ca="1">IF($H16=リスト!$AA$4,"-",
   IF($C16="-","-",
     IF(BV$4&gt;$P16,"-",
       IF(BV$4=1,$E16,OFFSET(BV16,0,-2)-OFFSET(BV16,0,-1)
))))</f>
        <v>-</v>
      </c>
      <c r="BW16" s="57" t="str">
        <f>IF($H16=リスト!$AA$4,"-",
 IF($C16="-","-",
  IF(BV$4&gt;$P16,"-",
   CHOOSE(MATCH($H$3,リスト!$AE$3:$AE$5,0),
    ROUNDUP(
      BV16*IF(BV16*$I16&lt;=$L16,$J16,$I16)*
      IF($P16=1,
         $S16/12,
         IF(BV$4=1,
            $T16/12,
            IF(BV$4=$P16,
               $U16/12,
               1
      ))),0),
    ROUNDDOWN(
      BV16*IF(BV16*$I16&lt;=$L16,$J16,$I16)*
      IF($P16=1,
         $S16/12,
         IF(BV$4=1,
            $T16/12,
            IF(BV$4=$P16,
               $U16/12,
               1
      ))),0),
    ROUND(
      BV16*IF(BV16*$I16&lt;=$L16,$J16,$I16)*
      IF($P16=1,
         $S16/12,
         IF(BV$4=1,
            $T16/12,
            IF(BV$4=$P16,
               $U16/12,
               1
      ))),0)
))))</f>
        <v>-</v>
      </c>
      <c r="BX16" s="56" t="str">
        <f ca="1">IF($H16=リスト!$AA$4,"-",
   IF($C16="-","-",
     IF(BX$4&gt;$P16,"-",
       IF(BX$4=1,$E16,OFFSET(BX16,0,-2)-OFFSET(BX16,0,-1)
))))</f>
        <v>-</v>
      </c>
      <c r="BY16" s="57" t="str">
        <f>IF($H16=リスト!$AA$4,"-",
 IF($C16="-","-",
  IF(BX$4&gt;$P16,"-",
   CHOOSE(MATCH($H$3,リスト!$AE$3:$AE$5,0),
    ROUNDUP(
      BX16*IF(BX16*$I16&lt;=$L16,$J16,$I16)*
      IF($P16=1,
         $S16/12,
         IF(BX$4=1,
            $T16/12,
            IF(BX$4=$P16,
               $U16/12,
               1
      ))),0),
    ROUNDDOWN(
      BX16*IF(BX16*$I16&lt;=$L16,$J16,$I16)*
      IF($P16=1,
         $S16/12,
         IF(BX$4=1,
            $T16/12,
            IF(BX$4=$P16,
               $U16/12,
               1
      ))),0),
    ROUND(
      BX16*IF(BX16*$I16&lt;=$L16,$J16,$I16)*
      IF($P16=1,
         $S16/12,
         IF(BX$4=1,
            $T16/12,
            IF(BX$4=$P16,
               $U16/12,
               1
      ))),0)
))))</f>
        <v>-</v>
      </c>
      <c r="BZ16" s="56" t="str">
        <f ca="1">IF($H16=リスト!$AA$4,"-",
   IF($C16="-","-",
     IF(BZ$4&gt;$P16,"-",
       IF(BZ$4=1,$E16,OFFSET(BZ16,0,-2)-OFFSET(BZ16,0,-1)
))))</f>
        <v>-</v>
      </c>
      <c r="CA16" s="57" t="str">
        <f>IF($H16=リスト!$AA$4,"-",
 IF($C16="-","-",
  IF(BZ$4&gt;$P16,"-",
   CHOOSE(MATCH($H$3,リスト!$AE$3:$AE$5,0),
    ROUNDUP(
      BZ16*IF(BZ16*$I16&lt;=$L16,$J16,$I16)*
      IF($P16=1,
         $S16/12,
         IF(BZ$4=1,
            $T16/12,
            IF(BZ$4=$P16,
               $U16/12,
               1
      ))),0),
    ROUNDDOWN(
      BZ16*IF(BZ16*$I16&lt;=$L16,$J16,$I16)*
      IF($P16=1,
         $S16/12,
         IF(BZ$4=1,
            $T16/12,
            IF(BZ$4=$P16,
               $U16/12,
               1
      ))),0),
    ROUND(
      BZ16*IF(BZ16*$I16&lt;=$L16,$J16,$I16)*
      IF($P16=1,
         $S16/12,
         IF(BZ$4=1,
            $T16/12,
            IF(BZ$4=$P16,
               $U16/12,
               1
      ))),0)
))))</f>
        <v>-</v>
      </c>
      <c r="CB16" s="56" t="str">
        <f ca="1">IF($H16=リスト!$AA$4,"-",
   IF($C16="-","-",
     IF(CB$4&gt;$P16,"-",
       IF(CB$4=1,$E16,OFFSET(CB16,0,-2)-OFFSET(CB16,0,-1)
))))</f>
        <v>-</v>
      </c>
      <c r="CC16" s="57" t="str">
        <f>IF($H16=リスト!$AA$4,"-",
 IF($C16="-","-",
  IF(CB$4&gt;$P16,"-",
   CHOOSE(MATCH($H$3,リスト!$AE$3:$AE$5,0),
    ROUNDUP(
      CB16*IF(CB16*$I16&lt;=$L16,$J16,$I16)*
      IF($P16=1,
         $S16/12,
         IF(CB$4=1,
            $T16/12,
            IF(CB$4=$P16,
               $U16/12,
               1
      ))),0),
    ROUNDDOWN(
      CB16*IF(CB16*$I16&lt;=$L16,$J16,$I16)*
      IF($P16=1,
         $S16/12,
         IF(CB$4=1,
            $T16/12,
            IF(CB$4=$P16,
               $U16/12,
               1
      ))),0),
    ROUND(
      CB16*IF(CB16*$I16&lt;=$L16,$J16,$I16)*
      IF($P16=1,
         $S16/12,
         IF(CB$4=1,
            $T16/12,
            IF(CB$4=$P16,
               $U16/12,
               1
      ))),0)
))))</f>
        <v>-</v>
      </c>
      <c r="CD16" s="56" t="str">
        <f ca="1">IF($H16=リスト!$AA$4,"-",
   IF($C16="-","-",
     IF(CD$4&gt;$P16,"-",
       IF(CD$4=1,$E16,OFFSET(CD16,0,-2)-OFFSET(CD16,0,-1)
))))</f>
        <v>-</v>
      </c>
      <c r="CE16" s="57" t="str">
        <f>IF($H16=リスト!$AA$4,"-",
 IF($C16="-","-",
  IF(CD$4&gt;$P16,"-",
   CHOOSE(MATCH($H$3,リスト!$AE$3:$AE$5,0),
    ROUNDUP(
      CD16*IF(CD16*$I16&lt;=$L16,$J16,$I16)*
      IF($P16=1,
         $S16/12,
         IF(CD$4=1,
            $T16/12,
            IF(CD$4=$P16,
               $U16/12,
               1
      ))),0),
    ROUNDDOWN(
      CD16*IF(CD16*$I16&lt;=$L16,$J16,$I16)*
      IF($P16=1,
         $S16/12,
         IF(CD$4=1,
            $T16/12,
            IF(CD$4=$P16,
               $U16/12,
               1
      ))),0),
    ROUND(
      CD16*IF(CD16*$I16&lt;=$L16,$J16,$I16)*
      IF($P16=1,
         $S16/12,
         IF(CD$4=1,
            $T16/12,
            IF(CD$4=$P16,
               $U16/12,
               1
      ))),0)
))))</f>
        <v>-</v>
      </c>
      <c r="CF16" s="56" t="str">
        <f ca="1">IF($H16=リスト!$AA$4,"-",
   IF($C16="-","-",
     IF(CF$4&gt;$P16,"-",
       IF(CF$4=1,$E16,OFFSET(CF16,0,-2)-OFFSET(CF16,0,-1)
))))</f>
        <v>-</v>
      </c>
      <c r="CG16" s="57" t="str">
        <f>IF($H16=リスト!$AA$4,"-",
 IF($C16="-","-",
  IF(CF$4&gt;$P16,"-",
   CHOOSE(MATCH($H$3,リスト!$AE$3:$AE$5,0),
    ROUNDUP(
      CF16*IF(CF16*$I16&lt;=$L16,$J16,$I16)*
      IF($P16=1,
         $S16/12,
         IF(CF$4=1,
            $T16/12,
            IF(CF$4=$P16,
               $U16/12,
               1
      ))),0),
    ROUNDDOWN(
      CF16*IF(CF16*$I16&lt;=$L16,$J16,$I16)*
      IF($P16=1,
         $S16/12,
         IF(CF$4=1,
            $T16/12,
            IF(CF$4=$P16,
               $U16/12,
               1
      ))),0),
    ROUND(
      CF16*IF(CF16*$I16&lt;=$L16,$J16,$I16)*
      IF($P16=1,
         $S16/12,
         IF(CF$4=1,
            $T16/12,
            IF(CF$4=$P16,
               $U16/12,
               1
      ))),0)
))))</f>
        <v>-</v>
      </c>
      <c r="CH16" s="56" t="str">
        <f ca="1">IF($H16=リスト!$AA$4,"-",
   IF($C16="-","-",
     IF(CH$4&gt;$P16,"-",
       IF(CH$4=1,$E16,OFFSET(CH16,0,-2)-OFFSET(CH16,0,-1)
))))</f>
        <v>-</v>
      </c>
      <c r="CI16" s="57" t="str">
        <f>IF($H16=リスト!$AA$4,"-",
 IF($C16="-","-",
  IF(CH$4&gt;$P16,"-",
   CHOOSE(MATCH($H$3,リスト!$AE$3:$AE$5,0),
    ROUNDUP(
      CH16*IF(CH16*$I16&lt;=$L16,$J16,$I16)*
      IF($P16=1,
         $S16/12,
         IF(CH$4=1,
            $T16/12,
            IF(CH$4=$P16,
               $U16/12,
               1
      ))),0),
    ROUNDDOWN(
      CH16*IF(CH16*$I16&lt;=$L16,$J16,$I16)*
      IF($P16=1,
         $S16/12,
         IF(CH$4=1,
            $T16/12,
            IF(CH$4=$P16,
               $U16/12,
               1
      ))),0),
    ROUND(
      CH16*IF(CH16*$I16&lt;=$L16,$J16,$I16)*
      IF($P16=1,
         $S16/12,
         IF(CH$4=1,
            $T16/12,
            IF(CH$4=$P16,
               $U16/12,
               1
      ))),0)
))))</f>
        <v>-</v>
      </c>
      <c r="CJ16" s="56" t="str">
        <f ca="1">IF($H16=リスト!$AA$4,"-",
   IF($C16="-","-",
     IF(CJ$4&gt;$P16,"-",
       IF(CJ$4=1,$E16,OFFSET(CJ16,0,-2)-OFFSET(CJ16,0,-1)
))))</f>
        <v>-</v>
      </c>
      <c r="CK16" s="57" t="str">
        <f>IF($H16=リスト!$AA$4,"-",
 IF($C16="-","-",
  IF(CJ$4&gt;$P16,"-",
   CHOOSE(MATCH($H$3,リスト!$AE$3:$AE$5,0),
    ROUNDUP(
      CJ16*IF(CJ16*$I16&lt;=$L16,$J16,$I16)*
      IF($P16=1,
         $S16/12,
         IF(CJ$4=1,
            $T16/12,
            IF(CJ$4=$P16,
               $U16/12,
               1
      ))),0),
    ROUNDDOWN(
      CJ16*IF(CJ16*$I16&lt;=$L16,$J16,$I16)*
      IF($P16=1,
         $S16/12,
         IF(CJ$4=1,
            $T16/12,
            IF(CJ$4=$P16,
               $U16/12,
               1
      ))),0),
    ROUND(
      CJ16*IF(CJ16*$I16&lt;=$L16,$J16,$I16)*
      IF($P16=1,
         $S16/12,
         IF(CJ$4=1,
            $T16/12,
            IF(CJ$4=$P16,
               $U16/12,
               1
      ))),0)
))))</f>
        <v>-</v>
      </c>
      <c r="CL16" s="56" t="str">
        <f ca="1">IF($H16=リスト!$AA$4,"-",
   IF($C16="-","-",
     IF(CL$4&gt;$P16,"-",
       IF(CL$4=1,$E16,OFFSET(CL16,0,-2)-OFFSET(CL16,0,-1)
))))</f>
        <v>-</v>
      </c>
      <c r="CM16" s="57" t="str">
        <f>IF($H16=リスト!$AA$4,"-",
 IF($C16="-","-",
  IF(CL$4&gt;$P16,"-",
   CHOOSE(MATCH($H$3,リスト!$AE$3:$AE$5,0),
    ROUNDUP(
      CL16*IF(CL16*$I16&lt;=$L16,$J16,$I16)*
      IF($P16=1,
         $S16/12,
         IF(CL$4=1,
            $T16/12,
            IF(CL$4=$P16,
               $U16/12,
               1
      ))),0),
    ROUNDDOWN(
      CL16*IF(CL16*$I16&lt;=$L16,$J16,$I16)*
      IF($P16=1,
         $S16/12,
         IF(CL$4=1,
            $T16/12,
            IF(CL$4=$P16,
               $U16/12,
               1
      ))),0),
    ROUND(
      CL16*IF(CL16*$I16&lt;=$L16,$J16,$I16)*
      IF($P16=1,
         $S16/12,
         IF(CL$4=1,
            $T16/12,
            IF(CL$4=$P16,
               $U16/12,
               1
      ))),0)
))))</f>
        <v>-</v>
      </c>
      <c r="CN16" s="56" t="str">
        <f ca="1">IF($H16=リスト!$AA$4,"-",
   IF($C16="-","-",
     IF(CN$4&gt;$P16,"-",
       IF(CN$4=1,$E16,OFFSET(CN16,0,-2)-OFFSET(CN16,0,-1)
))))</f>
        <v>-</v>
      </c>
      <c r="CO16" s="57" t="str">
        <f>IF($H16=リスト!$AA$4,"-",
 IF($C16="-","-",
  IF(CN$4&gt;$P16,"-",
   CHOOSE(MATCH($H$3,リスト!$AE$3:$AE$5,0),
    ROUNDUP(
      CN16*IF(CN16*$I16&lt;=$L16,$J16,$I16)*
      IF($P16=1,
         $S16/12,
         IF(CN$4=1,
            $T16/12,
            IF(CN$4=$P16,
               $U16/12,
               1
      ))),0),
    ROUNDDOWN(
      CN16*IF(CN16*$I16&lt;=$L16,$J16,$I16)*
      IF($P16=1,
         $S16/12,
         IF(CN$4=1,
            $T16/12,
            IF(CN$4=$P16,
               $U16/12,
               1
      ))),0),
    ROUND(
      CN16*IF(CN16*$I16&lt;=$L16,$J16,$I16)*
      IF($P16=1,
         $S16/12,
         IF(CN$4=1,
            $T16/12,
            IF(CN$4=$P16,
               $U16/12,
               1
      ))),0)
))))</f>
        <v>-</v>
      </c>
      <c r="CP16" s="56" t="str">
        <f ca="1">IF($H16=リスト!$AA$4,"-",
   IF($C16="-","-",
     IF(CP$4&gt;$P16,"-",
       IF(CP$4=1,$E16,OFFSET(CP16,0,-2)-OFFSET(CP16,0,-1)
))))</f>
        <v>-</v>
      </c>
      <c r="CQ16" s="57" t="str">
        <f>IF($H16=リスト!$AA$4,"-",
 IF($C16="-","-",
  IF(CP$4&gt;$P16,"-",
   CHOOSE(MATCH($H$3,リスト!$AE$3:$AE$5,0),
    ROUNDUP(
      CP16*IF(CP16*$I16&lt;=$L16,$J16,$I16)*
      IF($P16=1,
         $S16/12,
         IF(CP$4=1,
            $T16/12,
            IF(CP$4=$P16,
               $U16/12,
               1
      ))),0),
    ROUNDDOWN(
      CP16*IF(CP16*$I16&lt;=$L16,$J16,$I16)*
      IF($P16=1,
         $S16/12,
         IF(CP$4=1,
            $T16/12,
            IF(CP$4=$P16,
               $U16/12,
               1
      ))),0),
    ROUND(
      CP16*IF(CP16*$I16&lt;=$L16,$J16,$I16)*
      IF($P16=1,
         $S16/12,
         IF(CP$4=1,
            $T16/12,
            IF(CP$4=$P16,
               $U16/12,
               1
      ))),0)
))))</f>
        <v>-</v>
      </c>
      <c r="CR16" s="56" t="str">
        <f ca="1">IF($H16=リスト!$AA$4,"-",
   IF($C16="-","-",
     IF(CR$4&gt;$P16,"-",
       IF(CR$4=1,$E16,OFFSET(CR16,0,-2)-OFFSET(CR16,0,-1)
))))</f>
        <v>-</v>
      </c>
      <c r="CS16" s="57" t="str">
        <f>IF($H16=リスト!$AA$4,"-",
 IF($C16="-","-",
  IF(CR$4&gt;$P16,"-",
   CHOOSE(MATCH($H$3,リスト!$AE$3:$AE$5,0),
    ROUNDUP(
      CR16*IF(CR16*$I16&lt;=$L16,$J16,$I16)*
      IF($P16=1,
         $S16/12,
         IF(CR$4=1,
            $T16/12,
            IF(CR$4=$P16,
               $U16/12,
               1
      ))),0),
    ROUNDDOWN(
      CR16*IF(CR16*$I16&lt;=$L16,$J16,$I16)*
      IF($P16=1,
         $S16/12,
         IF(CR$4=1,
            $T16/12,
            IF(CR$4=$P16,
               $U16/12,
               1
      ))),0),
    ROUND(
      CR16*IF(CR16*$I16&lt;=$L16,$J16,$I16)*
      IF($P16=1,
         $S16/12,
         IF(CR$4=1,
            $T16/12,
            IF(CR$4=$P16,
               $U16/12,
               1
      ))),0)
))))</f>
        <v>-</v>
      </c>
      <c r="CT16" s="56" t="str">
        <f ca="1">IF($H16=リスト!$AA$4,"-",
   IF($C16="-","-",
     IF(CT$4&gt;$P16,"-",
       IF(CT$4=1,$E16,OFFSET(CT16,0,-2)-OFFSET(CT16,0,-1)
))))</f>
        <v>-</v>
      </c>
      <c r="CU16" s="57" t="str">
        <f>IF($H16=リスト!$AA$4,"-",
 IF($C16="-","-",
  IF(CT$4&gt;$P16,"-",
   CHOOSE(MATCH($H$3,リスト!$AE$3:$AE$5,0),
    ROUNDUP(
      CT16*IF(CT16*$I16&lt;=$L16,$J16,$I16)*
      IF($P16=1,
         $S16/12,
         IF(CT$4=1,
            $T16/12,
            IF(CT$4=$P16,
               $U16/12,
               1
      ))),0),
    ROUNDDOWN(
      CT16*IF(CT16*$I16&lt;=$L16,$J16,$I16)*
      IF($P16=1,
         $S16/12,
         IF(CT$4=1,
            $T16/12,
            IF(CT$4=$P16,
               $U16/12,
               1
      ))),0),
    ROUND(
      CT16*IF(CT16*$I16&lt;=$L16,$J16,$I16)*
      IF($P16=1,
         $S16/12,
         IF(CT$4=1,
            $T16/12,
            IF(CT$4=$P16,
               $U16/12,
               1
      ))),0)
))))</f>
        <v>-</v>
      </c>
      <c r="CV16" s="56" t="str">
        <f ca="1">IF($H16=リスト!$AA$4,"-",
   IF($C16="-","-",
     IF(CV$4&gt;$P16,"-",
       IF(CV$4=1,$E16,OFFSET(CV16,0,-2)-OFFSET(CV16,0,-1)
))))</f>
        <v>-</v>
      </c>
      <c r="CW16" s="57" t="str">
        <f>IF($H16=リスト!$AA$4,"-",
 IF($C16="-","-",
  IF(CV$4&gt;$P16,"-",
   CHOOSE(MATCH($H$3,リスト!$AE$3:$AE$5,0),
    ROUNDUP(
      CV16*IF(CV16*$I16&lt;=$L16,$J16,$I16)*
      IF($P16=1,
         $S16/12,
         IF(CV$4=1,
            $T16/12,
            IF(CV$4=$P16,
               $U16/12,
               1
      ))),0),
    ROUNDDOWN(
      CV16*IF(CV16*$I16&lt;=$L16,$J16,$I16)*
      IF($P16=1,
         $S16/12,
         IF(CV$4=1,
            $T16/12,
            IF(CV$4=$P16,
               $U16/12,
               1
      ))),0),
    ROUND(
      CV16*IF(CV16*$I16&lt;=$L16,$J16,$I16)*
      IF($P16=1,
         $S16/12,
         IF(CV$4=1,
            $T16/12,
            IF(CV$4=$P16,
               $U16/12,
               1
      ))),0)
))))</f>
        <v>-</v>
      </c>
      <c r="CX16" s="56" t="str">
        <f ca="1">IF($H16=リスト!$AA$4,"-",
   IF($C16="-","-",
     IF(CX$4&gt;$P16,"-",
       IF(CX$4=1,$E16,OFFSET(CX16,0,-2)-OFFSET(CX16,0,-1)
))))</f>
        <v>-</v>
      </c>
      <c r="CY16" s="57" t="str">
        <f>IF($H16=リスト!$AA$4,"-",
 IF($C16="-","-",
  IF(CX$4&gt;$P16,"-",
   CHOOSE(MATCH($H$3,リスト!$AE$3:$AE$5,0),
    ROUNDUP(
      CX16*IF(CX16*$I16&lt;=$L16,$J16,$I16)*
      IF($P16=1,
         $S16/12,
         IF(CX$4=1,
            $T16/12,
            IF(CX$4=$P16,
               $U16/12,
               1
      ))),0),
    ROUNDDOWN(
      CX16*IF(CX16*$I16&lt;=$L16,$J16,$I16)*
      IF($P16=1,
         $S16/12,
         IF(CX$4=1,
            $T16/12,
            IF(CX$4=$P16,
               $U16/12,
               1
      ))),0),
    ROUND(
      CX16*IF(CX16*$I16&lt;=$L16,$J16,$I16)*
      IF($P16=1,
         $S16/12,
         IF(CX$4=1,
            $T16/12,
            IF(CX$4=$P16,
               $U16/12,
               1
      ))),0)
))))</f>
        <v>-</v>
      </c>
      <c r="CZ16" s="56" t="str">
        <f ca="1">IF($H16=リスト!$AA$4,"-",
   IF($C16="-","-",
     IF(CZ$4&gt;$P16,"-",
       IF(CZ$4=1,$E16,OFFSET(CZ16,0,-2)-OFFSET(CZ16,0,-1)
))))</f>
        <v>-</v>
      </c>
      <c r="DA16" s="57" t="str">
        <f>IF($H16=リスト!$AA$4,"-",
 IF($C16="-","-",
  IF(CZ$4&gt;$P16,"-",
   CHOOSE(MATCH($H$3,リスト!$AE$3:$AE$5,0),
    ROUNDUP(
      CZ16*IF(CZ16*$I16&lt;=$L16,$J16,$I16)*
      IF($P16=1,
         $S16/12,
         IF(CZ$4=1,
            $T16/12,
            IF(CZ$4=$P16,
               $U16/12,
               1
      ))),0),
    ROUNDDOWN(
      CZ16*IF(CZ16*$I16&lt;=$L16,$J16,$I16)*
      IF($P16=1,
         $S16/12,
         IF(CZ$4=1,
            $T16/12,
            IF(CZ$4=$P16,
               $U16/12,
               1
      ))),0),
    ROUND(
      CZ16*IF(CZ16*$I16&lt;=$L16,$J16,$I16)*
      IF($P16=1,
         $S16/12,
         IF(CZ$4=1,
            $T16/12,
            IF(CZ$4=$P16,
               $U16/12,
               1
      ))),0)
))))</f>
        <v>-</v>
      </c>
      <c r="DB16" s="56" t="str">
        <f ca="1">IF($H16=リスト!$AA$4,"-",
   IF($C16="-","-",
     IF(DB$4&gt;$P16,"-",
       IF(DB$4=1,$E16,OFFSET(DB16,0,-2)-OFFSET(DB16,0,-1)
))))</f>
        <v>-</v>
      </c>
      <c r="DC16" s="57" t="str">
        <f>IF($H16=リスト!$AA$4,"-",
 IF($C16="-","-",
  IF(DB$4&gt;$P16,"-",
   CHOOSE(MATCH($H$3,リスト!$AE$3:$AE$5,0),
    ROUNDUP(
      DB16*IF(DB16*$I16&lt;=$L16,$J16,$I16)*
      IF($P16=1,
         $S16/12,
         IF(DB$4=1,
            $T16/12,
            IF(DB$4=$P16,
               $U16/12,
               1
      ))),0),
    ROUNDDOWN(
      DB16*IF(DB16*$I16&lt;=$L16,$J16,$I16)*
      IF($P16=1,
         $S16/12,
         IF(DB$4=1,
            $T16/12,
            IF(DB$4=$P16,
               $U16/12,
               1
      ))),0),
    ROUND(
      DB16*IF(DB16*$I16&lt;=$L16,$J16,$I16)*
      IF($P16=1,
         $S16/12,
         IF(DB$4=1,
            $T16/12,
            IF(DB$4=$P16,
               $U16/12,
               1
      ))),0)
))))</f>
        <v>-</v>
      </c>
      <c r="DD16" s="56" t="str">
        <f ca="1">IF($H16=リスト!$AA$4,"-",
   IF($C16="-","-",
     IF(DD$4&gt;$P16,"-",
       IF(DD$4=1,$E16,OFFSET(DD16,0,-2)-OFFSET(DD16,0,-1)
))))</f>
        <v>-</v>
      </c>
      <c r="DE16" s="57" t="str">
        <f>IF($H16=リスト!$AA$4,"-",
 IF($C16="-","-",
  IF(DD$4&gt;$P16,"-",
   CHOOSE(MATCH($H$3,リスト!$AE$3:$AE$5,0),
    ROUNDUP(
      DD16*IF(DD16*$I16&lt;=$L16,$J16,$I16)*
      IF($P16=1,
         $S16/12,
         IF(DD$4=1,
            $T16/12,
            IF(DD$4=$P16,
               $U16/12,
               1
      ))),0),
    ROUNDDOWN(
      DD16*IF(DD16*$I16&lt;=$L16,$J16,$I16)*
      IF($P16=1,
         $S16/12,
         IF(DD$4=1,
            $T16/12,
            IF(DD$4=$P16,
               $U16/12,
               1
      ))),0),
    ROUND(
      DD16*IF(DD16*$I16&lt;=$L16,$J16,$I16)*
      IF($P16=1,
         $S16/12,
         IF(DD$4=1,
            $T16/12,
            IF(DD$4=$P16,
               $U16/12,
               1
      ))),0)
))))</f>
        <v>-</v>
      </c>
      <c r="DF16" s="56" t="str">
        <f ca="1">IF($H16=リスト!$AA$4,"-",
   IF($C16="-","-",
     IF(DF$4&gt;$P16,"-",
       IF(DF$4=1,$E16,OFFSET(DF16,0,-2)-OFFSET(DF16,0,-1)
))))</f>
        <v>-</v>
      </c>
      <c r="DG16" s="57" t="str">
        <f>IF($H16=リスト!$AA$4,"-",
 IF($C16="-","-",
  IF(DF$4&gt;$P16,"-",
   CHOOSE(MATCH($H$3,リスト!$AE$3:$AE$5,0),
    ROUNDUP(
      DF16*IF(DF16*$I16&lt;=$L16,$J16,$I16)*
      IF($P16=1,
         $S16/12,
         IF(DF$4=1,
            $T16/12,
            IF(DF$4=$P16,
               $U16/12,
               1
      ))),0),
    ROUNDDOWN(
      DF16*IF(DF16*$I16&lt;=$L16,$J16,$I16)*
      IF($P16=1,
         $S16/12,
         IF(DF$4=1,
            $T16/12,
            IF(DF$4=$P16,
               $U16/12,
               1
      ))),0),
    ROUND(
      DF16*IF(DF16*$I16&lt;=$L16,$J16,$I16)*
      IF($P16=1,
         $S16/12,
         IF(DF$4=1,
            $T16/12,
            IF(DF$4=$P16,
               $U16/12,
               1
      ))),0)
))))</f>
        <v>-</v>
      </c>
      <c r="DH16" s="56" t="str">
        <f ca="1">IF($H16=リスト!$AA$4,"-",
   IF($C16="-","-",
     IF(DH$4&gt;$P16,"-",
       IF(DH$4=1,$E16,OFFSET(DH16,0,-2)-OFFSET(DH16,0,-1)
))))</f>
        <v>-</v>
      </c>
      <c r="DI16" s="57" t="str">
        <f>IF($H16=リスト!$AA$4,"-",
 IF($C16="-","-",
  IF(DH$4&gt;$P16,"-",
   CHOOSE(MATCH($H$3,リスト!$AE$3:$AE$5,0),
    ROUNDUP(
      DH16*IF(DH16*$I16&lt;=$L16,$J16,$I16)*
      IF($P16=1,
         $S16/12,
         IF(DH$4=1,
            $T16/12,
            IF(DH$4=$P16,
               $U16/12,
               1
      ))),0),
    ROUNDDOWN(
      DH16*IF(DH16*$I16&lt;=$L16,$J16,$I16)*
      IF($P16=1,
         $S16/12,
         IF(DH$4=1,
            $T16/12,
            IF(DH$4=$P16,
               $U16/12,
               1
      ))),0),
    ROUND(
      DH16*IF(DH16*$I16&lt;=$L16,$J16,$I16)*
      IF($P16=1,
         $S16/12,
         IF(DH$4=1,
            $T16/12,
            IF(DH$4=$P16,
               $U16/12,
               1
      ))),0)
))))</f>
        <v>-</v>
      </c>
      <c r="DJ16" s="56" t="str">
        <f ca="1">IF($H16=リスト!$AA$4,"-",
   IF($C16="-","-",
     IF(DJ$4&gt;$P16,"-",
       IF(DJ$4=1,$E16,OFFSET(DJ16,0,-2)-OFFSET(DJ16,0,-1)
))))</f>
        <v>-</v>
      </c>
      <c r="DK16" s="57" t="str">
        <f>IF($H16=リスト!$AA$4,"-",
 IF($C16="-","-",
  IF(DJ$4&gt;$P16,"-",
   CHOOSE(MATCH($H$3,リスト!$AE$3:$AE$5,0),
    ROUNDUP(
      DJ16*IF(DJ16*$I16&lt;=$L16,$J16,$I16)*
      IF($P16=1,
         $S16/12,
         IF(DJ$4=1,
            $T16/12,
            IF(DJ$4=$P16,
               $U16/12,
               1
      ))),0),
    ROUNDDOWN(
      DJ16*IF(DJ16*$I16&lt;=$L16,$J16,$I16)*
      IF($P16=1,
         $S16/12,
         IF(DJ$4=1,
            $T16/12,
            IF(DJ$4=$P16,
               $U16/12,
               1
      ))),0),
    ROUND(
      DJ16*IF(DJ16*$I16&lt;=$L16,$J16,$I16)*
      IF($P16=1,
         $S16/12,
         IF(DJ$4=1,
            $T16/12,
            IF(DJ$4=$P16,
               $U16/12,
               1
      ))),0)
))))</f>
        <v>-</v>
      </c>
      <c r="DL16" s="56" t="str">
        <f ca="1">IF($H16=リスト!$AA$4,"-",
   IF($C16="-","-",
     IF(DL$4&gt;$P16,"-",
       IF(DL$4=1,$E16,OFFSET(DL16,0,-2)-OFFSET(DL16,0,-1)
))))</f>
        <v>-</v>
      </c>
      <c r="DM16" s="57" t="str">
        <f>IF($H16=リスト!$AA$4,"-",
 IF($C16="-","-",
  IF(DL$4&gt;$P16,"-",
   CHOOSE(MATCH($H$3,リスト!$AE$3:$AE$5,0),
    ROUNDUP(
      DL16*IF(DL16*$I16&lt;=$L16,$J16,$I16)*
      IF($P16=1,
         $S16/12,
         IF(DL$4=1,
            $T16/12,
            IF(DL$4=$P16,
               $U16/12,
               1
      ))),0),
    ROUNDDOWN(
      DL16*IF(DL16*$I16&lt;=$L16,$J16,$I16)*
      IF($P16=1,
         $S16/12,
         IF(DL$4=1,
            $T16/12,
            IF(DL$4=$P16,
               $U16/12,
               1
      ))),0),
    ROUND(
      DL16*IF(DL16*$I16&lt;=$L16,$J16,$I16)*
      IF($P16=1,
         $S16/12,
         IF(DL$4=1,
            $T16/12,
            IF(DL$4=$P16,
               $U16/12,
               1
      ))),0)
))))</f>
        <v>-</v>
      </c>
      <c r="DN16" s="56" t="str">
        <f ca="1">IF($H16=リスト!$AA$4,"-",
   IF($C16="-","-",
     IF(DN$4&gt;$P16,"-",
       IF(DN$4=1,$E16,OFFSET(DN16,0,-2)-OFFSET(DN16,0,-1)
))))</f>
        <v>-</v>
      </c>
      <c r="DO16" s="57" t="str">
        <f>IF($H16=リスト!$AA$4,"-",
 IF($C16="-","-",
  IF(DN$4&gt;$P16,"-",
   CHOOSE(MATCH($H$3,リスト!$AE$3:$AE$5,0),
    ROUNDUP(
      DN16*IF(DN16*$I16&lt;=$L16,$J16,$I16)*
      IF($P16=1,
         $S16/12,
         IF(DN$4=1,
            $T16/12,
            IF(DN$4=$P16,
               $U16/12,
               1
      ))),0),
    ROUNDDOWN(
      DN16*IF(DN16*$I16&lt;=$L16,$J16,$I16)*
      IF($P16=1,
         $S16/12,
         IF(DN$4=1,
            $T16/12,
            IF(DN$4=$P16,
               $U16/12,
               1
      ))),0),
    ROUND(
      DN16*IF(DN16*$I16&lt;=$L16,$J16,$I16)*
      IF($P16=1,
         $S16/12,
         IF(DN$4=1,
            $T16/12,
            IF(DN$4=$P16,
               $U16/12,
               1
      ))),0)
))))</f>
        <v>-</v>
      </c>
      <c r="DP16" s="56" t="str">
        <f ca="1">IF($H16=リスト!$AA$4,"-",
   IF($C16="-","-",
     IF(DP$4&gt;$P16,"-",
       IF(DP$4=1,$E16,OFFSET(DP16,0,-2)-OFFSET(DP16,0,-1)
))))</f>
        <v>-</v>
      </c>
      <c r="DQ16" s="57" t="str">
        <f>IF($H16=リスト!$AA$4,"-",
 IF($C16="-","-",
  IF(DP$4&gt;$P16,"-",
   CHOOSE(MATCH($H$3,リスト!$AE$3:$AE$5,0),
    ROUNDUP(
      DP16*IF(DP16*$I16&lt;=$L16,$J16,$I16)*
      IF($P16=1,
         $S16/12,
         IF(DP$4=1,
            $T16/12,
            IF(DP$4=$P16,
               $U16/12,
               1
      ))),0),
    ROUNDDOWN(
      DP16*IF(DP16*$I16&lt;=$L16,$J16,$I16)*
      IF($P16=1,
         $S16/12,
         IF(DP$4=1,
            $T16/12,
            IF(DP$4=$P16,
               $U16/12,
               1
      ))),0),
    ROUND(
      DP16*IF(DP16*$I16&lt;=$L16,$J16,$I16)*
      IF($P16=1,
         $S16/12,
         IF(DP$4=1,
            $T16/12,
            IF(DP$4=$P16,
               $U16/12,
               1
      ))),0)
))))</f>
        <v>-</v>
      </c>
      <c r="DR16" s="56" t="str">
        <f ca="1">IF($H16=リスト!$AA$4,"-",
   IF($C16="-","-",
     IF(DR$4&gt;$P16,"-",
       IF(DR$4=1,$E16,OFFSET(DR16,0,-2)-OFFSET(DR16,0,-1)
))))</f>
        <v>-</v>
      </c>
      <c r="DS16" s="57" t="str">
        <f>IF($H16=リスト!$AA$4,"-",
 IF($C16="-","-",
  IF(DR$4&gt;$P16,"-",
   CHOOSE(MATCH($H$3,リスト!$AE$3:$AE$5,0),
    ROUNDUP(
      DR16*IF(DR16*$I16&lt;=$L16,$J16,$I16)*
      IF($P16=1,
         $S16/12,
         IF(DR$4=1,
            $T16/12,
            IF(DR$4=$P16,
               $U16/12,
               1
      ))),0),
    ROUNDDOWN(
      DR16*IF(DR16*$I16&lt;=$L16,$J16,$I16)*
      IF($P16=1,
         $S16/12,
         IF(DR$4=1,
            $T16/12,
            IF(DR$4=$P16,
               $U16/12,
               1
      ))),0),
    ROUND(
      DR16*IF(DR16*$I16&lt;=$L16,$J16,$I16)*
      IF($P16=1,
         $S16/12,
         IF(DR$4=1,
            $T16/12,
            IF(DR$4=$P16,
               $U16/12,
               1
      ))),0)
))))</f>
        <v>-</v>
      </c>
      <c r="DT16" s="56" t="str" cm="1">
        <f t="array" ref="DT16">IF($H16&lt;&gt;リスト!$AA$3,"-",$E16-SUMPRODUCT(IFERROR($Y16:$DS16*1,0), --(MOD(COLUMN($Y16:$DS16)-COLUMN($Y16),2)=0)))</f>
        <v>-</v>
      </c>
      <c r="DU16" s="56" t="str">
        <f>IF($H16&lt;&gt;リスト!$AA$4,"-",
    IF($H$3=リスト!$AE$3,$E16-ROUNDUP($E16*I16*$W16/12,0),
    IF($H$3=リスト!$AE$4,$E16-ROUNDDOWN($E16*I16*$W16/12,0),
    IF($H$3=リスト!$AE$5,$E16-ROUND($E16*I16*$W16/12,0),
    "-"))))</f>
        <v>-</v>
      </c>
    </row>
    <row r="17" spans="2:125">
      <c r="B17" s="54">
        <v>12</v>
      </c>
      <c r="C17" s="55" t="str">
        <f>IF(財産処分報告用!$C17="","-",財産処分報告用!$C17)</f>
        <v>-</v>
      </c>
      <c r="D17" s="55" t="str">
        <f>財産処分報告用!$E17</f>
        <v>-</v>
      </c>
      <c r="E17" s="56" t="str">
        <f>IF(財産処分報告用!$J17="","-",財産処分報告用!$J17)</f>
        <v>-</v>
      </c>
      <c r="F17" s="101" t="str">
        <f>IF(財産処分報告用!$K17="","-",財産処分報告用!$K17)</f>
        <v>-</v>
      </c>
      <c r="G17" s="101" t="str">
        <f>IF(財産処分報告用!$L17="","-",財産処分報告用!$L17)</f>
        <v>-</v>
      </c>
      <c r="H17" s="55" t="str">
        <f>IF(財産処分報告用!$M17="","-",財産処分報告用!$M17)</f>
        <v>-</v>
      </c>
      <c r="I17" s="55" t="str">
        <f>IF(OR($D17="-",$H17="-"),"-",INDEX(リスト!$AG$2:$AI$101,MATCH($D17,リスト!$AG$2:$AG$101,0),MATCH($H17,リスト!$AG$2:$AI$2,0)))</f>
        <v>-</v>
      </c>
      <c r="J17" s="55" t="str">
        <f>IF(OR($D17="-",$H17="-"),"-",IF($H17=リスト!$AA$4,"-",INDEX(リスト!$AG$2:$AK$101,MATCH($D17,リスト!$AG$2:$AG$101,0),4)))</f>
        <v>-</v>
      </c>
      <c r="K17" s="55" t="str">
        <f>IF(OR($D17="-",$H17="-"),"-",IF($H17=リスト!$AA$4,"-",INDEX(リスト!$AG$2:$AK$101,MATCH($D17,リスト!$AG$2:$AG$101,0),5)))</f>
        <v>-</v>
      </c>
      <c r="L17" s="55" t="str">
        <f t="shared" si="0"/>
        <v>-</v>
      </c>
      <c r="M17" s="101" t="str">
        <f t="shared" si="1"/>
        <v>-</v>
      </c>
      <c r="N17" s="101" t="str">
        <f t="shared" si="2"/>
        <v>-</v>
      </c>
      <c r="O17" s="101" t="str">
        <f t="shared" si="3"/>
        <v>-</v>
      </c>
      <c r="P17" s="102" t="str">
        <f t="shared" si="4"/>
        <v>-</v>
      </c>
      <c r="Q17" s="115" t="str">
        <f t="shared" si="5"/>
        <v>-</v>
      </c>
      <c r="R17" s="116" t="str">
        <f t="shared" si="6"/>
        <v>-</v>
      </c>
      <c r="S17" s="102" t="str">
        <f t="shared" si="7"/>
        <v>-</v>
      </c>
      <c r="T17" s="102" t="str">
        <f t="shared" si="8"/>
        <v>-</v>
      </c>
      <c r="U17" s="102" t="str">
        <f t="shared" si="9"/>
        <v>-</v>
      </c>
      <c r="V17" s="102" t="str">
        <f t="shared" si="10"/>
        <v>-</v>
      </c>
      <c r="W17" s="55" t="str">
        <f t="shared" si="11"/>
        <v>-</v>
      </c>
      <c r="X17" s="56" t="str">
        <f ca="1">IF($H17=リスト!$AA$4,"-",
   IF($C17="-","-",
     IF(X$4&gt;$P17,"-",
       IF(X$4=1,$E17,OFFSET(X17,0,-2)-OFFSET(X17,0,-1)
))))</f>
        <v>-</v>
      </c>
      <c r="Y17" s="57" t="str">
        <f>IF($H17=リスト!$AA$4,"-",
 IF($C17="-","-",
  IF(X$4&gt;$P17,"-",
   CHOOSE(MATCH($H$3,リスト!$AE$3:$AE$5,0),
    ROUNDUP(
      X17*IF(X17*$I17&lt;=$L17,$J17,$I17)*
      IF($P17=1,
         $S17/12,
         IF(X$4=1,
            $T17/12,
            IF(X$4=$P17,
               $U17/12,
               1
      ))),0),
    ROUNDDOWN(
      X17*IF(X17*$I17&lt;=$L17,$J17,$I17)*
      IF($P17=1,
         $S17/12,
         IF(X$4=1,
            $T17/12,
            IF(X$4=$P17,
               $U17/12,
               1
      ))),0),
    ROUND(
      X17*IF(X17*$I17&lt;=$L17,$J17,$I17)*
      IF($P17=1,
         $S17/12,
         IF(X$4=1,
            $T17/12,
            IF(X$4=$P17,
               $U17/12,
               1
      ))),0)
))))</f>
        <v>-</v>
      </c>
      <c r="Z17" s="56" t="str">
        <f ca="1">IF($H17=リスト!$AA$4,"-",
   IF($C17="-","-",
     IF(Z$4&gt;$P17,"-",
       IF(Z$4=1,$E17,OFFSET(Z17,0,-2)-OFFSET(Z17,0,-1)
))))</f>
        <v>-</v>
      </c>
      <c r="AA17" s="57" t="str">
        <f>IF($H17=リスト!$AA$4,"-",
 IF($C17="-","-",
  IF(Z$4&gt;$P17,"-",
   CHOOSE(MATCH($H$3,リスト!$AE$3:$AE$5,0),
    ROUNDUP(
      Z17*IF(Z17*$I17&lt;=$L17,$J17,$I17)*
      IF($P17=1,
         $S17/12,
         IF(Z$4=1,
            $T17/12,
            IF(Z$4=$P17,
               $U17/12,
               1
      ))),0),
    ROUNDDOWN(
      Z17*IF(Z17*$I17&lt;=$L17,$J17,$I17)*
      IF($P17=1,
         $S17/12,
         IF(Z$4=1,
            $T17/12,
            IF(Z$4=$P17,
               $U17/12,
               1
      ))),0),
    ROUND(
      Z17*IF(Z17*$I17&lt;=$L17,$J17,$I17)*
      IF($P17=1,
         $S17/12,
         IF(Z$4=1,
            $T17/12,
            IF(Z$4=$P17,
               $U17/12,
               1
      ))),0)
))))</f>
        <v>-</v>
      </c>
      <c r="AB17" s="56" t="str">
        <f ca="1">IF($H17=リスト!$AA$4,"-",
   IF($C17="-","-",
     IF(AB$4&gt;$P17,"-",
       IF(AB$4=1,$E17,OFFSET(AB17,0,-2)-OFFSET(AB17,0,-1)
))))</f>
        <v>-</v>
      </c>
      <c r="AC17" s="57" t="str">
        <f>IF($H17=リスト!$AA$4,"-",
 IF($C17="-","-",
  IF(AB$4&gt;$P17,"-",
   CHOOSE(MATCH($H$3,リスト!$AE$3:$AE$5,0),
    ROUNDUP(
      AB17*IF(AB17*$I17&lt;=$L17,$J17,$I17)*
      IF($P17=1,
         $S17/12,
         IF(AB$4=1,
            $T17/12,
            IF(AB$4=$P17,
               $U17/12,
               1
      ))),0),
    ROUNDDOWN(
      AB17*IF(AB17*$I17&lt;=$L17,$J17,$I17)*
      IF($P17=1,
         $S17/12,
         IF(AB$4=1,
            $T17/12,
            IF(AB$4=$P17,
               $U17/12,
               1
      ))),0),
    ROUND(
      AB17*IF(AB17*$I17&lt;=$L17,$J17,$I17)*
      IF($P17=1,
         $S17/12,
         IF(AB$4=1,
            $T17/12,
            IF(AB$4=$P17,
               $U17/12,
               1
      ))),0)
))))</f>
        <v>-</v>
      </c>
      <c r="AD17" s="56" t="str">
        <f ca="1">IF($H17=リスト!$AA$4,"-",
   IF($C17="-","-",
     IF(AD$4&gt;$P17,"-",
       IF(AD$4=1,$E17,OFFSET(AD17,0,-2)-OFFSET(AD17,0,-1)
))))</f>
        <v>-</v>
      </c>
      <c r="AE17" s="57" t="str">
        <f>IF($H17=リスト!$AA$4,"-",
 IF($C17="-","-",
  IF(AD$4&gt;$P17,"-",
   CHOOSE(MATCH($H$3,リスト!$AE$3:$AE$5,0),
    ROUNDUP(
      AD17*IF(AD17*$I17&lt;=$L17,$J17,$I17)*
      IF($P17=1,
         $S17/12,
         IF(AD$4=1,
            $T17/12,
            IF(AD$4=$P17,
               $U17/12,
               1
      ))),0),
    ROUNDDOWN(
      AD17*IF(AD17*$I17&lt;=$L17,$J17,$I17)*
      IF($P17=1,
         $S17/12,
         IF(AD$4=1,
            $T17/12,
            IF(AD$4=$P17,
               $U17/12,
               1
      ))),0),
    ROUND(
      AD17*IF(AD17*$I17&lt;=$L17,$J17,$I17)*
      IF($P17=1,
         $S17/12,
         IF(AD$4=1,
            $T17/12,
            IF(AD$4=$P17,
               $U17/12,
               1
      ))),0)
))))</f>
        <v>-</v>
      </c>
      <c r="AF17" s="56" t="str">
        <f ca="1">IF($H17=リスト!$AA$4,"-",
   IF($C17="-","-",
     IF(AF$4&gt;$P17,"-",
       IF(AF$4=1,$E17,OFFSET(AF17,0,-2)-OFFSET(AF17,0,-1)
))))</f>
        <v>-</v>
      </c>
      <c r="AG17" s="57" t="str">
        <f>IF($H17=リスト!$AA$4,"-",
 IF($C17="-","-",
  IF(AF$4&gt;$P17,"-",
   CHOOSE(MATCH($H$3,リスト!$AE$3:$AE$5,0),
    ROUNDUP(
      AF17*IF(AF17*$I17&lt;=$L17,$J17,$I17)*
      IF($P17=1,
         $S17/12,
         IF(AF$4=1,
            $T17/12,
            IF(AF$4=$P17,
               $U17/12,
               1
      ))),0),
    ROUNDDOWN(
      AF17*IF(AF17*$I17&lt;=$L17,$J17,$I17)*
      IF($P17=1,
         $S17/12,
         IF(AF$4=1,
            $T17/12,
            IF(AF$4=$P17,
               $U17/12,
               1
      ))),0),
    ROUND(
      AF17*IF(AF17*$I17&lt;=$L17,$J17,$I17)*
      IF($P17=1,
         $S17/12,
         IF(AF$4=1,
            $T17/12,
            IF(AF$4=$P17,
               $U17/12,
               1
      ))),0)
))))</f>
        <v>-</v>
      </c>
      <c r="AH17" s="56" t="str">
        <f ca="1">IF($H17=リスト!$AA$4,"-",
   IF($C17="-","-",
     IF(AH$4&gt;$P17,"-",
       IF(AH$4=1,$E17,OFFSET(AH17,0,-2)-OFFSET(AH17,0,-1)
))))</f>
        <v>-</v>
      </c>
      <c r="AI17" s="57" t="str">
        <f>IF($H17=リスト!$AA$4,"-",
 IF($C17="-","-",
  IF(AH$4&gt;$P17,"-",
   CHOOSE(MATCH($H$3,リスト!$AE$3:$AE$5,0),
    ROUNDUP(
      AH17*IF(AH17*$I17&lt;=$L17,$J17,$I17)*
      IF($P17=1,
         $S17/12,
         IF(AH$4=1,
            $T17/12,
            IF(AH$4=$P17,
               $U17/12,
               1
      ))),0),
    ROUNDDOWN(
      AH17*IF(AH17*$I17&lt;=$L17,$J17,$I17)*
      IF($P17=1,
         $S17/12,
         IF(AH$4=1,
            $T17/12,
            IF(AH$4=$P17,
               $U17/12,
               1
      ))),0),
    ROUND(
      AH17*IF(AH17*$I17&lt;=$L17,$J17,$I17)*
      IF($P17=1,
         $S17/12,
         IF(AH$4=1,
            $T17/12,
            IF(AH$4=$P17,
               $U17/12,
               1
      ))),0)
))))</f>
        <v>-</v>
      </c>
      <c r="AJ17" s="56" t="str">
        <f ca="1">IF($H17=リスト!$AA$4,"-",
   IF($C17="-","-",
     IF(AJ$4&gt;$P17,"-",
       IF(AJ$4=1,$E17,OFFSET(AJ17,0,-2)-OFFSET(AJ17,0,-1)
))))</f>
        <v>-</v>
      </c>
      <c r="AK17" s="57" t="str">
        <f>IF($H17=リスト!$AA$4,"-",
 IF($C17="-","-",
  IF(AJ$4&gt;$P17,"-",
   CHOOSE(MATCH($H$3,リスト!$AE$3:$AE$5,0),
    ROUNDUP(
      AJ17*IF(AJ17*$I17&lt;=$L17,$J17,$I17)*
      IF($P17=1,
         $S17/12,
         IF(AJ$4=1,
            $T17/12,
            IF(AJ$4=$P17,
               $U17/12,
               1
      ))),0),
    ROUNDDOWN(
      AJ17*IF(AJ17*$I17&lt;=$L17,$J17,$I17)*
      IF($P17=1,
         $S17/12,
         IF(AJ$4=1,
            $T17/12,
            IF(AJ$4=$P17,
               $U17/12,
               1
      ))),0),
    ROUND(
      AJ17*IF(AJ17*$I17&lt;=$L17,$J17,$I17)*
      IF($P17=1,
         $S17/12,
         IF(AJ$4=1,
            $T17/12,
            IF(AJ$4=$P17,
               $U17/12,
               1
      ))),0)
))))</f>
        <v>-</v>
      </c>
      <c r="AL17" s="56" t="str">
        <f ca="1">IF($H17=リスト!$AA$4,"-",
   IF($C17="-","-",
     IF(AL$4&gt;$P17,"-",
       IF(AL$4=1,$E17,OFFSET(AL17,0,-2)-OFFSET(AL17,0,-1)
))))</f>
        <v>-</v>
      </c>
      <c r="AM17" s="57" t="str">
        <f>IF($H17=リスト!$AA$4,"-",
 IF($C17="-","-",
  IF(AL$4&gt;$P17,"-",
   CHOOSE(MATCH($H$3,リスト!$AE$3:$AE$5,0),
    ROUNDUP(
      AL17*IF(AL17*$I17&lt;=$L17,$J17,$I17)*
      IF($P17=1,
         $S17/12,
         IF(AL$4=1,
            $T17/12,
            IF(AL$4=$P17,
               $U17/12,
               1
      ))),0),
    ROUNDDOWN(
      AL17*IF(AL17*$I17&lt;=$L17,$J17,$I17)*
      IF($P17=1,
         $S17/12,
         IF(AL$4=1,
            $T17/12,
            IF(AL$4=$P17,
               $U17/12,
               1
      ))),0),
    ROUND(
      AL17*IF(AL17*$I17&lt;=$L17,$J17,$I17)*
      IF($P17=1,
         $S17/12,
         IF(AL$4=1,
            $T17/12,
            IF(AL$4=$P17,
               $U17/12,
               1
      ))),0)
))))</f>
        <v>-</v>
      </c>
      <c r="AN17" s="56" t="str">
        <f ca="1">IF($H17=リスト!$AA$4,"-",
   IF($C17="-","-",
     IF(AN$4&gt;$P17,"-",
       IF(AN$4=1,$E17,OFFSET(AN17,0,-2)-OFFSET(AN17,0,-1)
))))</f>
        <v>-</v>
      </c>
      <c r="AO17" s="57" t="str">
        <f>IF($H17=リスト!$AA$4,"-",
 IF($C17="-","-",
  IF(AN$4&gt;$P17,"-",
   CHOOSE(MATCH($H$3,リスト!$AE$3:$AE$5,0),
    ROUNDUP(
      AN17*IF(AN17*$I17&lt;=$L17,$J17,$I17)*
      IF($P17=1,
         $S17/12,
         IF(AN$4=1,
            $T17/12,
            IF(AN$4=$P17,
               $U17/12,
               1
      ))),0),
    ROUNDDOWN(
      AN17*IF(AN17*$I17&lt;=$L17,$J17,$I17)*
      IF($P17=1,
         $S17/12,
         IF(AN$4=1,
            $T17/12,
            IF(AN$4=$P17,
               $U17/12,
               1
      ))),0),
    ROUND(
      AN17*IF(AN17*$I17&lt;=$L17,$J17,$I17)*
      IF($P17=1,
         $S17/12,
         IF(AN$4=1,
            $T17/12,
            IF(AN$4=$P17,
               $U17/12,
               1
      ))),0)
))))</f>
        <v>-</v>
      </c>
      <c r="AP17" s="56" t="str">
        <f ca="1">IF($H17=リスト!$AA$4,"-",
   IF($C17="-","-",
     IF(AP$4&gt;$P17,"-",
       IF(AP$4=1,$E17,OFFSET(AP17,0,-2)-OFFSET(AP17,0,-1)
))))</f>
        <v>-</v>
      </c>
      <c r="AQ17" s="57" t="str">
        <f>IF($H17=リスト!$AA$4,"-",
 IF($C17="-","-",
  IF(AP$4&gt;$P17,"-",
   CHOOSE(MATCH($H$3,リスト!$AE$3:$AE$5,0),
    ROUNDUP(
      AP17*IF(AP17*$I17&lt;=$L17,$J17,$I17)*
      IF($P17=1,
         $S17/12,
         IF(AP$4=1,
            $T17/12,
            IF(AP$4=$P17,
               $U17/12,
               1
      ))),0),
    ROUNDDOWN(
      AP17*IF(AP17*$I17&lt;=$L17,$J17,$I17)*
      IF($P17=1,
         $S17/12,
         IF(AP$4=1,
            $T17/12,
            IF(AP$4=$P17,
               $U17/12,
               1
      ))),0),
    ROUND(
      AP17*IF(AP17*$I17&lt;=$L17,$J17,$I17)*
      IF($P17=1,
         $S17/12,
         IF(AP$4=1,
            $T17/12,
            IF(AP$4=$P17,
               $U17/12,
               1
      ))),0)
))))</f>
        <v>-</v>
      </c>
      <c r="AR17" s="56" t="str">
        <f ca="1">IF($H17=リスト!$AA$4,"-",
   IF($C17="-","-",
     IF(AR$4&gt;$P17,"-",
       IF(AR$4=1,$E17,OFFSET(AR17,0,-2)-OFFSET(AR17,0,-1)
))))</f>
        <v>-</v>
      </c>
      <c r="AS17" s="57" t="str">
        <f>IF($H17=リスト!$AA$4,"-",
 IF($C17="-","-",
  IF(AR$4&gt;$P17,"-",
   CHOOSE(MATCH($H$3,リスト!$AE$3:$AE$5,0),
    ROUNDUP(
      AR17*IF(AR17*$I17&lt;=$L17,$J17,$I17)*
      IF($P17=1,
         $S17/12,
         IF(AR$4=1,
            $T17/12,
            IF(AR$4=$P17,
               $U17/12,
               1
      ))),0),
    ROUNDDOWN(
      AR17*IF(AR17*$I17&lt;=$L17,$J17,$I17)*
      IF($P17=1,
         $S17/12,
         IF(AR$4=1,
            $T17/12,
            IF(AR$4=$P17,
               $U17/12,
               1
      ))),0),
    ROUND(
      AR17*IF(AR17*$I17&lt;=$L17,$J17,$I17)*
      IF($P17=1,
         $S17/12,
         IF(AR$4=1,
            $T17/12,
            IF(AR$4=$P17,
               $U17/12,
               1
      ))),0)
))))</f>
        <v>-</v>
      </c>
      <c r="AT17" s="56" t="str">
        <f ca="1">IF($H17=リスト!$AA$4,"-",
   IF($C17="-","-",
     IF(AT$4&gt;$P17,"-",
       IF(AT$4=1,$E17,OFFSET(AT17,0,-2)-OFFSET(AT17,0,-1)
))))</f>
        <v>-</v>
      </c>
      <c r="AU17" s="57" t="str">
        <f>IF($H17=リスト!$AA$4,"-",
 IF($C17="-","-",
  IF(AT$4&gt;$P17,"-",
   CHOOSE(MATCH($H$3,リスト!$AE$3:$AE$5,0),
    ROUNDUP(
      AT17*IF(AT17*$I17&lt;=$L17,$J17,$I17)*
      IF($P17=1,
         $S17/12,
         IF(AT$4=1,
            $T17/12,
            IF(AT$4=$P17,
               $U17/12,
               1
      ))),0),
    ROUNDDOWN(
      AT17*IF(AT17*$I17&lt;=$L17,$J17,$I17)*
      IF($P17=1,
         $S17/12,
         IF(AT$4=1,
            $T17/12,
            IF(AT$4=$P17,
               $U17/12,
               1
      ))),0),
    ROUND(
      AT17*IF(AT17*$I17&lt;=$L17,$J17,$I17)*
      IF($P17=1,
         $S17/12,
         IF(AT$4=1,
            $T17/12,
            IF(AT$4=$P17,
               $U17/12,
               1
      ))),0)
))))</f>
        <v>-</v>
      </c>
      <c r="AV17" s="56" t="str">
        <f ca="1">IF($H17=リスト!$AA$4,"-",
   IF($C17="-","-",
     IF(AV$4&gt;$P17,"-",
       IF(AV$4=1,$E17,OFFSET(AV17,0,-2)-OFFSET(AV17,0,-1)
))))</f>
        <v>-</v>
      </c>
      <c r="AW17" s="57" t="str">
        <f>IF($H17=リスト!$AA$4,"-",
 IF($C17="-","-",
  IF(AV$4&gt;$P17,"-",
   CHOOSE(MATCH($H$3,リスト!$AE$3:$AE$5,0),
    ROUNDUP(
      AV17*IF(AV17*$I17&lt;=$L17,$J17,$I17)*
      IF($P17=1,
         $S17/12,
         IF(AV$4=1,
            $T17/12,
            IF(AV$4=$P17,
               $U17/12,
               1
      ))),0),
    ROUNDDOWN(
      AV17*IF(AV17*$I17&lt;=$L17,$J17,$I17)*
      IF($P17=1,
         $S17/12,
         IF(AV$4=1,
            $T17/12,
            IF(AV$4=$P17,
               $U17/12,
               1
      ))),0),
    ROUND(
      AV17*IF(AV17*$I17&lt;=$L17,$J17,$I17)*
      IF($P17=1,
         $S17/12,
         IF(AV$4=1,
            $T17/12,
            IF(AV$4=$P17,
               $U17/12,
               1
      ))),0)
))))</f>
        <v>-</v>
      </c>
      <c r="AX17" s="56" t="str">
        <f ca="1">IF($H17=リスト!$AA$4,"-",
   IF($C17="-","-",
     IF(AX$4&gt;$P17,"-",
       IF(AX$4=1,$E17,OFFSET(AX17,0,-2)-OFFSET(AX17,0,-1)
))))</f>
        <v>-</v>
      </c>
      <c r="AY17" s="57" t="str">
        <f>IF($H17=リスト!$AA$4,"-",
 IF($C17="-","-",
  IF(AX$4&gt;$P17,"-",
   CHOOSE(MATCH($H$3,リスト!$AE$3:$AE$5,0),
    ROUNDUP(
      AX17*IF(AX17*$I17&lt;=$L17,$J17,$I17)*
      IF($P17=1,
         $S17/12,
         IF(AX$4=1,
            $T17/12,
            IF(AX$4=$P17,
               $U17/12,
               1
      ))),0),
    ROUNDDOWN(
      AX17*IF(AX17*$I17&lt;=$L17,$J17,$I17)*
      IF($P17=1,
         $S17/12,
         IF(AX$4=1,
            $T17/12,
            IF(AX$4=$P17,
               $U17/12,
               1
      ))),0),
    ROUND(
      AX17*IF(AX17*$I17&lt;=$L17,$J17,$I17)*
      IF($P17=1,
         $S17/12,
         IF(AX$4=1,
            $T17/12,
            IF(AX$4=$P17,
               $U17/12,
               1
      ))),0)
))))</f>
        <v>-</v>
      </c>
      <c r="AZ17" s="56" t="str">
        <f ca="1">IF($H17=リスト!$AA$4,"-",
   IF($C17="-","-",
     IF(AZ$4&gt;$P17,"-",
       IF(AZ$4=1,$E17,OFFSET(AZ17,0,-2)-OFFSET(AZ17,0,-1)
))))</f>
        <v>-</v>
      </c>
      <c r="BA17" s="57" t="str">
        <f>IF($H17=リスト!$AA$4,"-",
 IF($C17="-","-",
  IF(AZ$4&gt;$P17,"-",
   CHOOSE(MATCH($H$3,リスト!$AE$3:$AE$5,0),
    ROUNDUP(
      AZ17*IF(AZ17*$I17&lt;=$L17,$J17,$I17)*
      IF($P17=1,
         $S17/12,
         IF(AZ$4=1,
            $T17/12,
            IF(AZ$4=$P17,
               $U17/12,
               1
      ))),0),
    ROUNDDOWN(
      AZ17*IF(AZ17*$I17&lt;=$L17,$J17,$I17)*
      IF($P17=1,
         $S17/12,
         IF(AZ$4=1,
            $T17/12,
            IF(AZ$4=$P17,
               $U17/12,
               1
      ))),0),
    ROUND(
      AZ17*IF(AZ17*$I17&lt;=$L17,$J17,$I17)*
      IF($P17=1,
         $S17/12,
         IF(AZ$4=1,
            $T17/12,
            IF(AZ$4=$P17,
               $U17/12,
               1
      ))),0)
))))</f>
        <v>-</v>
      </c>
      <c r="BB17" s="56" t="str">
        <f ca="1">IF($H17=リスト!$AA$4,"-",
   IF($C17="-","-",
     IF(BB$4&gt;$P17,"-",
       IF(BB$4=1,$E17,OFFSET(BB17,0,-2)-OFFSET(BB17,0,-1)
))))</f>
        <v>-</v>
      </c>
      <c r="BC17" s="57" t="str">
        <f>IF($H17=リスト!$AA$4,"-",
 IF($C17="-","-",
  IF(BB$4&gt;$P17,"-",
   CHOOSE(MATCH($H$3,リスト!$AE$3:$AE$5,0),
    ROUNDUP(
      BB17*IF(BB17*$I17&lt;=$L17,$J17,$I17)*
      IF($P17=1,
         $S17/12,
         IF(BB$4=1,
            $T17/12,
            IF(BB$4=$P17,
               $U17/12,
               1
      ))),0),
    ROUNDDOWN(
      BB17*IF(BB17*$I17&lt;=$L17,$J17,$I17)*
      IF($P17=1,
         $S17/12,
         IF(BB$4=1,
            $T17/12,
            IF(BB$4=$P17,
               $U17/12,
               1
      ))),0),
    ROUND(
      BB17*IF(BB17*$I17&lt;=$L17,$J17,$I17)*
      IF($P17=1,
         $S17/12,
         IF(BB$4=1,
            $T17/12,
            IF(BB$4=$P17,
               $U17/12,
               1
      ))),0)
))))</f>
        <v>-</v>
      </c>
      <c r="BD17" s="56" t="str">
        <f ca="1">IF($H17=リスト!$AA$4,"-",
   IF($C17="-","-",
     IF(BD$4&gt;$P17,"-",
       IF(BD$4=1,$E17,OFFSET(BD17,0,-2)-OFFSET(BD17,0,-1)
))))</f>
        <v>-</v>
      </c>
      <c r="BE17" s="57" t="str">
        <f>IF($H17=リスト!$AA$4,"-",
 IF($C17="-","-",
  IF(BD$4&gt;$P17,"-",
   CHOOSE(MATCH($H$3,リスト!$AE$3:$AE$5,0),
    ROUNDUP(
      BD17*IF(BD17*$I17&lt;=$L17,$J17,$I17)*
      IF($P17=1,
         $S17/12,
         IF(BD$4=1,
            $T17/12,
            IF(BD$4=$P17,
               $U17/12,
               1
      ))),0),
    ROUNDDOWN(
      BD17*IF(BD17*$I17&lt;=$L17,$J17,$I17)*
      IF($P17=1,
         $S17/12,
         IF(BD$4=1,
            $T17/12,
            IF(BD$4=$P17,
               $U17/12,
               1
      ))),0),
    ROUND(
      BD17*IF(BD17*$I17&lt;=$L17,$J17,$I17)*
      IF($P17=1,
         $S17/12,
         IF(BD$4=1,
            $T17/12,
            IF(BD$4=$P17,
               $U17/12,
               1
      ))),0)
))))</f>
        <v>-</v>
      </c>
      <c r="BF17" s="56" t="str">
        <f ca="1">IF($H17=リスト!$AA$4,"-",
   IF($C17="-","-",
     IF(BF$4&gt;$P17,"-",
       IF(BF$4=1,$E17,OFFSET(BF17,0,-2)-OFFSET(BF17,0,-1)
))))</f>
        <v>-</v>
      </c>
      <c r="BG17" s="57" t="str">
        <f>IF($H17=リスト!$AA$4,"-",
 IF($C17="-","-",
  IF(BF$4&gt;$P17,"-",
   CHOOSE(MATCH($H$3,リスト!$AE$3:$AE$5,0),
    ROUNDUP(
      BF17*IF(BF17*$I17&lt;=$L17,$J17,$I17)*
      IF($P17=1,
         $S17/12,
         IF(BF$4=1,
            $T17/12,
            IF(BF$4=$P17,
               $U17/12,
               1
      ))),0),
    ROUNDDOWN(
      BF17*IF(BF17*$I17&lt;=$L17,$J17,$I17)*
      IF($P17=1,
         $S17/12,
         IF(BF$4=1,
            $T17/12,
            IF(BF$4=$P17,
               $U17/12,
               1
      ))),0),
    ROUND(
      BF17*IF(BF17*$I17&lt;=$L17,$J17,$I17)*
      IF($P17=1,
         $S17/12,
         IF(BF$4=1,
            $T17/12,
            IF(BF$4=$P17,
               $U17/12,
               1
      ))),0)
))))</f>
        <v>-</v>
      </c>
      <c r="BH17" s="56" t="str">
        <f ca="1">IF($H17=リスト!$AA$4,"-",
   IF($C17="-","-",
     IF(BH$4&gt;$P17,"-",
       IF(BH$4=1,$E17,OFFSET(BH17,0,-2)-OFFSET(BH17,0,-1)
))))</f>
        <v>-</v>
      </c>
      <c r="BI17" s="57" t="str">
        <f>IF($H17=リスト!$AA$4,"-",
 IF($C17="-","-",
  IF(BH$4&gt;$P17,"-",
   CHOOSE(MATCH($H$3,リスト!$AE$3:$AE$5,0),
    ROUNDUP(
      BH17*IF(BH17*$I17&lt;=$L17,$J17,$I17)*
      IF($P17=1,
         $S17/12,
         IF(BH$4=1,
            $T17/12,
            IF(BH$4=$P17,
               $U17/12,
               1
      ))),0),
    ROUNDDOWN(
      BH17*IF(BH17*$I17&lt;=$L17,$J17,$I17)*
      IF($P17=1,
         $S17/12,
         IF(BH$4=1,
            $T17/12,
            IF(BH$4=$P17,
               $U17/12,
               1
      ))),0),
    ROUND(
      BH17*IF(BH17*$I17&lt;=$L17,$J17,$I17)*
      IF($P17=1,
         $S17/12,
         IF(BH$4=1,
            $T17/12,
            IF(BH$4=$P17,
               $U17/12,
               1
      ))),0)
))))</f>
        <v>-</v>
      </c>
      <c r="BJ17" s="56" t="str">
        <f ca="1">IF($H17=リスト!$AA$4,"-",
   IF($C17="-","-",
     IF(BJ$4&gt;$P17,"-",
       IF(BJ$4=1,$E17,OFFSET(BJ17,0,-2)-OFFSET(BJ17,0,-1)
))))</f>
        <v>-</v>
      </c>
      <c r="BK17" s="57" t="str">
        <f>IF($H17=リスト!$AA$4,"-",
 IF($C17="-","-",
  IF(BJ$4&gt;$P17,"-",
   CHOOSE(MATCH($H$3,リスト!$AE$3:$AE$5,0),
    ROUNDUP(
      BJ17*IF(BJ17*$I17&lt;=$L17,$J17,$I17)*
      IF($P17=1,
         $S17/12,
         IF(BJ$4=1,
            $T17/12,
            IF(BJ$4=$P17,
               $U17/12,
               1
      ))),0),
    ROUNDDOWN(
      BJ17*IF(BJ17*$I17&lt;=$L17,$J17,$I17)*
      IF($P17=1,
         $S17/12,
         IF(BJ$4=1,
            $T17/12,
            IF(BJ$4=$P17,
               $U17/12,
               1
      ))),0),
    ROUND(
      BJ17*IF(BJ17*$I17&lt;=$L17,$J17,$I17)*
      IF($P17=1,
         $S17/12,
         IF(BJ$4=1,
            $T17/12,
            IF(BJ$4=$P17,
               $U17/12,
               1
      ))),0)
))))</f>
        <v>-</v>
      </c>
      <c r="BL17" s="56" t="str">
        <f ca="1">IF($H17=リスト!$AA$4,"-",
   IF($C17="-","-",
     IF(BL$4&gt;$P17,"-",
       IF(BL$4=1,$E17,OFFSET(BL17,0,-2)-OFFSET(BL17,0,-1)
))))</f>
        <v>-</v>
      </c>
      <c r="BM17" s="57" t="str">
        <f>IF($H17=リスト!$AA$4,"-",
 IF($C17="-","-",
  IF(BL$4&gt;$P17,"-",
   CHOOSE(MATCH($H$3,リスト!$AE$3:$AE$5,0),
    ROUNDUP(
      BL17*IF(BL17*$I17&lt;=$L17,$J17,$I17)*
      IF($P17=1,
         $S17/12,
         IF(BL$4=1,
            $T17/12,
            IF(BL$4=$P17,
               $U17/12,
               1
      ))),0),
    ROUNDDOWN(
      BL17*IF(BL17*$I17&lt;=$L17,$J17,$I17)*
      IF($P17=1,
         $S17/12,
         IF(BL$4=1,
            $T17/12,
            IF(BL$4=$P17,
               $U17/12,
               1
      ))),0),
    ROUND(
      BL17*IF(BL17*$I17&lt;=$L17,$J17,$I17)*
      IF($P17=1,
         $S17/12,
         IF(BL$4=1,
            $T17/12,
            IF(BL$4=$P17,
               $U17/12,
               1
      ))),0)
))))</f>
        <v>-</v>
      </c>
      <c r="BN17" s="56" t="str">
        <f ca="1">IF($H17=リスト!$AA$4,"-",
   IF($C17="-","-",
     IF(BN$4&gt;$P17,"-",
       IF(BN$4=1,$E17,OFFSET(BN17,0,-2)-OFFSET(BN17,0,-1)
))))</f>
        <v>-</v>
      </c>
      <c r="BO17" s="57" t="str">
        <f>IF($H17=リスト!$AA$4,"-",
 IF($C17="-","-",
  IF(BN$4&gt;$P17,"-",
   CHOOSE(MATCH($H$3,リスト!$AE$3:$AE$5,0),
    ROUNDUP(
      BN17*IF(BN17*$I17&lt;=$L17,$J17,$I17)*
      IF($P17=1,
         $S17/12,
         IF(BN$4=1,
            $T17/12,
            IF(BN$4=$P17,
               $U17/12,
               1
      ))),0),
    ROUNDDOWN(
      BN17*IF(BN17*$I17&lt;=$L17,$J17,$I17)*
      IF($P17=1,
         $S17/12,
         IF(BN$4=1,
            $T17/12,
            IF(BN$4=$P17,
               $U17/12,
               1
      ))),0),
    ROUND(
      BN17*IF(BN17*$I17&lt;=$L17,$J17,$I17)*
      IF($P17=1,
         $S17/12,
         IF(BN$4=1,
            $T17/12,
            IF(BN$4=$P17,
               $U17/12,
               1
      ))),0)
))))</f>
        <v>-</v>
      </c>
      <c r="BP17" s="56" t="str">
        <f ca="1">IF($H17=リスト!$AA$4,"-",
   IF($C17="-","-",
     IF(BP$4&gt;$P17,"-",
       IF(BP$4=1,$E17,OFFSET(BP17,0,-2)-OFFSET(BP17,0,-1)
))))</f>
        <v>-</v>
      </c>
      <c r="BQ17" s="57" t="str">
        <f>IF($H17=リスト!$AA$4,"-",
 IF($C17="-","-",
  IF(BP$4&gt;$P17,"-",
   CHOOSE(MATCH($H$3,リスト!$AE$3:$AE$5,0),
    ROUNDUP(
      BP17*IF(BP17*$I17&lt;=$L17,$J17,$I17)*
      IF($P17=1,
         $S17/12,
         IF(BP$4=1,
            $T17/12,
            IF(BP$4=$P17,
               $U17/12,
               1
      ))),0),
    ROUNDDOWN(
      BP17*IF(BP17*$I17&lt;=$L17,$J17,$I17)*
      IF($P17=1,
         $S17/12,
         IF(BP$4=1,
            $T17/12,
            IF(BP$4=$P17,
               $U17/12,
               1
      ))),0),
    ROUND(
      BP17*IF(BP17*$I17&lt;=$L17,$J17,$I17)*
      IF($P17=1,
         $S17/12,
         IF(BP$4=1,
            $T17/12,
            IF(BP$4=$P17,
               $U17/12,
               1
      ))),0)
))))</f>
        <v>-</v>
      </c>
      <c r="BR17" s="56" t="str">
        <f ca="1">IF($H17=リスト!$AA$4,"-",
   IF($C17="-","-",
     IF(BR$4&gt;$P17,"-",
       IF(BR$4=1,$E17,OFFSET(BR17,0,-2)-OFFSET(BR17,0,-1)
))))</f>
        <v>-</v>
      </c>
      <c r="BS17" s="57" t="str">
        <f>IF($H17=リスト!$AA$4,"-",
 IF($C17="-","-",
  IF(BR$4&gt;$P17,"-",
   CHOOSE(MATCH($H$3,リスト!$AE$3:$AE$5,0),
    ROUNDUP(
      BR17*IF(BR17*$I17&lt;=$L17,$J17,$I17)*
      IF($P17=1,
         $S17/12,
         IF(BR$4=1,
            $T17/12,
            IF(BR$4=$P17,
               $U17/12,
               1
      ))),0),
    ROUNDDOWN(
      BR17*IF(BR17*$I17&lt;=$L17,$J17,$I17)*
      IF($P17=1,
         $S17/12,
         IF(BR$4=1,
            $T17/12,
            IF(BR$4=$P17,
               $U17/12,
               1
      ))),0),
    ROUND(
      BR17*IF(BR17*$I17&lt;=$L17,$J17,$I17)*
      IF($P17=1,
         $S17/12,
         IF(BR$4=1,
            $T17/12,
            IF(BR$4=$P17,
               $U17/12,
               1
      ))),0)
))))</f>
        <v>-</v>
      </c>
      <c r="BT17" s="56" t="str">
        <f ca="1">IF($H17=リスト!$AA$4,"-",
   IF($C17="-","-",
     IF(BT$4&gt;$P17,"-",
       IF(BT$4=1,$E17,OFFSET(BT17,0,-2)-OFFSET(BT17,0,-1)
))))</f>
        <v>-</v>
      </c>
      <c r="BU17" s="57" t="str">
        <f>IF($H17=リスト!$AA$4,"-",
 IF($C17="-","-",
  IF(BT$4&gt;$P17,"-",
   CHOOSE(MATCH($H$3,リスト!$AE$3:$AE$5,0),
    ROUNDUP(
      BT17*IF(BT17*$I17&lt;=$L17,$J17,$I17)*
      IF($P17=1,
         $S17/12,
         IF(BT$4=1,
            $T17/12,
            IF(BT$4=$P17,
               $U17/12,
               1
      ))),0),
    ROUNDDOWN(
      BT17*IF(BT17*$I17&lt;=$L17,$J17,$I17)*
      IF($P17=1,
         $S17/12,
         IF(BT$4=1,
            $T17/12,
            IF(BT$4=$P17,
               $U17/12,
               1
      ))),0),
    ROUND(
      BT17*IF(BT17*$I17&lt;=$L17,$J17,$I17)*
      IF($P17=1,
         $S17/12,
         IF(BT$4=1,
            $T17/12,
            IF(BT$4=$P17,
               $U17/12,
               1
      ))),0)
))))</f>
        <v>-</v>
      </c>
      <c r="BV17" s="56" t="str">
        <f ca="1">IF($H17=リスト!$AA$4,"-",
   IF($C17="-","-",
     IF(BV$4&gt;$P17,"-",
       IF(BV$4=1,$E17,OFFSET(BV17,0,-2)-OFFSET(BV17,0,-1)
))))</f>
        <v>-</v>
      </c>
      <c r="BW17" s="57" t="str">
        <f>IF($H17=リスト!$AA$4,"-",
 IF($C17="-","-",
  IF(BV$4&gt;$P17,"-",
   CHOOSE(MATCH($H$3,リスト!$AE$3:$AE$5,0),
    ROUNDUP(
      BV17*IF(BV17*$I17&lt;=$L17,$J17,$I17)*
      IF($P17=1,
         $S17/12,
         IF(BV$4=1,
            $T17/12,
            IF(BV$4=$P17,
               $U17/12,
               1
      ))),0),
    ROUNDDOWN(
      BV17*IF(BV17*$I17&lt;=$L17,$J17,$I17)*
      IF($P17=1,
         $S17/12,
         IF(BV$4=1,
            $T17/12,
            IF(BV$4=$P17,
               $U17/12,
               1
      ))),0),
    ROUND(
      BV17*IF(BV17*$I17&lt;=$L17,$J17,$I17)*
      IF($P17=1,
         $S17/12,
         IF(BV$4=1,
            $T17/12,
            IF(BV$4=$P17,
               $U17/12,
               1
      ))),0)
))))</f>
        <v>-</v>
      </c>
      <c r="BX17" s="56" t="str">
        <f ca="1">IF($H17=リスト!$AA$4,"-",
   IF($C17="-","-",
     IF(BX$4&gt;$P17,"-",
       IF(BX$4=1,$E17,OFFSET(BX17,0,-2)-OFFSET(BX17,0,-1)
))))</f>
        <v>-</v>
      </c>
      <c r="BY17" s="57" t="str">
        <f>IF($H17=リスト!$AA$4,"-",
 IF($C17="-","-",
  IF(BX$4&gt;$P17,"-",
   CHOOSE(MATCH($H$3,リスト!$AE$3:$AE$5,0),
    ROUNDUP(
      BX17*IF(BX17*$I17&lt;=$L17,$J17,$I17)*
      IF($P17=1,
         $S17/12,
         IF(BX$4=1,
            $T17/12,
            IF(BX$4=$P17,
               $U17/12,
               1
      ))),0),
    ROUNDDOWN(
      BX17*IF(BX17*$I17&lt;=$L17,$J17,$I17)*
      IF($P17=1,
         $S17/12,
         IF(BX$4=1,
            $T17/12,
            IF(BX$4=$P17,
               $U17/12,
               1
      ))),0),
    ROUND(
      BX17*IF(BX17*$I17&lt;=$L17,$J17,$I17)*
      IF($P17=1,
         $S17/12,
         IF(BX$4=1,
            $T17/12,
            IF(BX$4=$P17,
               $U17/12,
               1
      ))),0)
))))</f>
        <v>-</v>
      </c>
      <c r="BZ17" s="56" t="str">
        <f ca="1">IF($H17=リスト!$AA$4,"-",
   IF($C17="-","-",
     IF(BZ$4&gt;$P17,"-",
       IF(BZ$4=1,$E17,OFFSET(BZ17,0,-2)-OFFSET(BZ17,0,-1)
))))</f>
        <v>-</v>
      </c>
      <c r="CA17" s="57" t="str">
        <f>IF($H17=リスト!$AA$4,"-",
 IF($C17="-","-",
  IF(BZ$4&gt;$P17,"-",
   CHOOSE(MATCH($H$3,リスト!$AE$3:$AE$5,0),
    ROUNDUP(
      BZ17*IF(BZ17*$I17&lt;=$L17,$J17,$I17)*
      IF($P17=1,
         $S17/12,
         IF(BZ$4=1,
            $T17/12,
            IF(BZ$4=$P17,
               $U17/12,
               1
      ))),0),
    ROUNDDOWN(
      BZ17*IF(BZ17*$I17&lt;=$L17,$J17,$I17)*
      IF($P17=1,
         $S17/12,
         IF(BZ$4=1,
            $T17/12,
            IF(BZ$4=$P17,
               $U17/12,
               1
      ))),0),
    ROUND(
      BZ17*IF(BZ17*$I17&lt;=$L17,$J17,$I17)*
      IF($P17=1,
         $S17/12,
         IF(BZ$4=1,
            $T17/12,
            IF(BZ$4=$P17,
               $U17/12,
               1
      ))),0)
))))</f>
        <v>-</v>
      </c>
      <c r="CB17" s="56" t="str">
        <f ca="1">IF($H17=リスト!$AA$4,"-",
   IF($C17="-","-",
     IF(CB$4&gt;$P17,"-",
       IF(CB$4=1,$E17,OFFSET(CB17,0,-2)-OFFSET(CB17,0,-1)
))))</f>
        <v>-</v>
      </c>
      <c r="CC17" s="57" t="str">
        <f>IF($H17=リスト!$AA$4,"-",
 IF($C17="-","-",
  IF(CB$4&gt;$P17,"-",
   CHOOSE(MATCH($H$3,リスト!$AE$3:$AE$5,0),
    ROUNDUP(
      CB17*IF(CB17*$I17&lt;=$L17,$J17,$I17)*
      IF($P17=1,
         $S17/12,
         IF(CB$4=1,
            $T17/12,
            IF(CB$4=$P17,
               $U17/12,
               1
      ))),0),
    ROUNDDOWN(
      CB17*IF(CB17*$I17&lt;=$L17,$J17,$I17)*
      IF($P17=1,
         $S17/12,
         IF(CB$4=1,
            $T17/12,
            IF(CB$4=$P17,
               $U17/12,
               1
      ))),0),
    ROUND(
      CB17*IF(CB17*$I17&lt;=$L17,$J17,$I17)*
      IF($P17=1,
         $S17/12,
         IF(CB$4=1,
            $T17/12,
            IF(CB$4=$P17,
               $U17/12,
               1
      ))),0)
))))</f>
        <v>-</v>
      </c>
      <c r="CD17" s="56" t="str">
        <f ca="1">IF($H17=リスト!$AA$4,"-",
   IF($C17="-","-",
     IF(CD$4&gt;$P17,"-",
       IF(CD$4=1,$E17,OFFSET(CD17,0,-2)-OFFSET(CD17,0,-1)
))))</f>
        <v>-</v>
      </c>
      <c r="CE17" s="57" t="str">
        <f>IF($H17=リスト!$AA$4,"-",
 IF($C17="-","-",
  IF(CD$4&gt;$P17,"-",
   CHOOSE(MATCH($H$3,リスト!$AE$3:$AE$5,0),
    ROUNDUP(
      CD17*IF(CD17*$I17&lt;=$L17,$J17,$I17)*
      IF($P17=1,
         $S17/12,
         IF(CD$4=1,
            $T17/12,
            IF(CD$4=$P17,
               $U17/12,
               1
      ))),0),
    ROUNDDOWN(
      CD17*IF(CD17*$I17&lt;=$L17,$J17,$I17)*
      IF($P17=1,
         $S17/12,
         IF(CD$4=1,
            $T17/12,
            IF(CD$4=$P17,
               $U17/12,
               1
      ))),0),
    ROUND(
      CD17*IF(CD17*$I17&lt;=$L17,$J17,$I17)*
      IF($P17=1,
         $S17/12,
         IF(CD$4=1,
            $T17/12,
            IF(CD$4=$P17,
               $U17/12,
               1
      ))),0)
))))</f>
        <v>-</v>
      </c>
      <c r="CF17" s="56" t="str">
        <f ca="1">IF($H17=リスト!$AA$4,"-",
   IF($C17="-","-",
     IF(CF$4&gt;$P17,"-",
       IF(CF$4=1,$E17,OFFSET(CF17,0,-2)-OFFSET(CF17,0,-1)
))))</f>
        <v>-</v>
      </c>
      <c r="CG17" s="57" t="str">
        <f>IF($H17=リスト!$AA$4,"-",
 IF($C17="-","-",
  IF(CF$4&gt;$P17,"-",
   CHOOSE(MATCH($H$3,リスト!$AE$3:$AE$5,0),
    ROUNDUP(
      CF17*IF(CF17*$I17&lt;=$L17,$J17,$I17)*
      IF($P17=1,
         $S17/12,
         IF(CF$4=1,
            $T17/12,
            IF(CF$4=$P17,
               $U17/12,
               1
      ))),0),
    ROUNDDOWN(
      CF17*IF(CF17*$I17&lt;=$L17,$J17,$I17)*
      IF($P17=1,
         $S17/12,
         IF(CF$4=1,
            $T17/12,
            IF(CF$4=$P17,
               $U17/12,
               1
      ))),0),
    ROUND(
      CF17*IF(CF17*$I17&lt;=$L17,$J17,$I17)*
      IF($P17=1,
         $S17/12,
         IF(CF$4=1,
            $T17/12,
            IF(CF$4=$P17,
               $U17/12,
               1
      ))),0)
))))</f>
        <v>-</v>
      </c>
      <c r="CH17" s="56" t="str">
        <f ca="1">IF($H17=リスト!$AA$4,"-",
   IF($C17="-","-",
     IF(CH$4&gt;$P17,"-",
       IF(CH$4=1,$E17,OFFSET(CH17,0,-2)-OFFSET(CH17,0,-1)
))))</f>
        <v>-</v>
      </c>
      <c r="CI17" s="57" t="str">
        <f>IF($H17=リスト!$AA$4,"-",
 IF($C17="-","-",
  IF(CH$4&gt;$P17,"-",
   CHOOSE(MATCH($H$3,リスト!$AE$3:$AE$5,0),
    ROUNDUP(
      CH17*IF(CH17*$I17&lt;=$L17,$J17,$I17)*
      IF($P17=1,
         $S17/12,
         IF(CH$4=1,
            $T17/12,
            IF(CH$4=$P17,
               $U17/12,
               1
      ))),0),
    ROUNDDOWN(
      CH17*IF(CH17*$I17&lt;=$L17,$J17,$I17)*
      IF($P17=1,
         $S17/12,
         IF(CH$4=1,
            $T17/12,
            IF(CH$4=$P17,
               $U17/12,
               1
      ))),0),
    ROUND(
      CH17*IF(CH17*$I17&lt;=$L17,$J17,$I17)*
      IF($P17=1,
         $S17/12,
         IF(CH$4=1,
            $T17/12,
            IF(CH$4=$P17,
               $U17/12,
               1
      ))),0)
))))</f>
        <v>-</v>
      </c>
      <c r="CJ17" s="56" t="str">
        <f ca="1">IF($H17=リスト!$AA$4,"-",
   IF($C17="-","-",
     IF(CJ$4&gt;$P17,"-",
       IF(CJ$4=1,$E17,OFFSET(CJ17,0,-2)-OFFSET(CJ17,0,-1)
))))</f>
        <v>-</v>
      </c>
      <c r="CK17" s="57" t="str">
        <f>IF($H17=リスト!$AA$4,"-",
 IF($C17="-","-",
  IF(CJ$4&gt;$P17,"-",
   CHOOSE(MATCH($H$3,リスト!$AE$3:$AE$5,0),
    ROUNDUP(
      CJ17*IF(CJ17*$I17&lt;=$L17,$J17,$I17)*
      IF($P17=1,
         $S17/12,
         IF(CJ$4=1,
            $T17/12,
            IF(CJ$4=$P17,
               $U17/12,
               1
      ))),0),
    ROUNDDOWN(
      CJ17*IF(CJ17*$I17&lt;=$L17,$J17,$I17)*
      IF($P17=1,
         $S17/12,
         IF(CJ$4=1,
            $T17/12,
            IF(CJ$4=$P17,
               $U17/12,
               1
      ))),0),
    ROUND(
      CJ17*IF(CJ17*$I17&lt;=$L17,$J17,$I17)*
      IF($P17=1,
         $S17/12,
         IF(CJ$4=1,
            $T17/12,
            IF(CJ$4=$P17,
               $U17/12,
               1
      ))),0)
))))</f>
        <v>-</v>
      </c>
      <c r="CL17" s="56" t="str">
        <f ca="1">IF($H17=リスト!$AA$4,"-",
   IF($C17="-","-",
     IF(CL$4&gt;$P17,"-",
       IF(CL$4=1,$E17,OFFSET(CL17,0,-2)-OFFSET(CL17,0,-1)
))))</f>
        <v>-</v>
      </c>
      <c r="CM17" s="57" t="str">
        <f>IF($H17=リスト!$AA$4,"-",
 IF($C17="-","-",
  IF(CL$4&gt;$P17,"-",
   CHOOSE(MATCH($H$3,リスト!$AE$3:$AE$5,0),
    ROUNDUP(
      CL17*IF(CL17*$I17&lt;=$L17,$J17,$I17)*
      IF($P17=1,
         $S17/12,
         IF(CL$4=1,
            $T17/12,
            IF(CL$4=$P17,
               $U17/12,
               1
      ))),0),
    ROUNDDOWN(
      CL17*IF(CL17*$I17&lt;=$L17,$J17,$I17)*
      IF($P17=1,
         $S17/12,
         IF(CL$4=1,
            $T17/12,
            IF(CL$4=$P17,
               $U17/12,
               1
      ))),0),
    ROUND(
      CL17*IF(CL17*$I17&lt;=$L17,$J17,$I17)*
      IF($P17=1,
         $S17/12,
         IF(CL$4=1,
            $T17/12,
            IF(CL$4=$P17,
               $U17/12,
               1
      ))),0)
))))</f>
        <v>-</v>
      </c>
      <c r="CN17" s="56" t="str">
        <f ca="1">IF($H17=リスト!$AA$4,"-",
   IF($C17="-","-",
     IF(CN$4&gt;$P17,"-",
       IF(CN$4=1,$E17,OFFSET(CN17,0,-2)-OFFSET(CN17,0,-1)
))))</f>
        <v>-</v>
      </c>
      <c r="CO17" s="57" t="str">
        <f>IF($H17=リスト!$AA$4,"-",
 IF($C17="-","-",
  IF(CN$4&gt;$P17,"-",
   CHOOSE(MATCH($H$3,リスト!$AE$3:$AE$5,0),
    ROUNDUP(
      CN17*IF(CN17*$I17&lt;=$L17,$J17,$I17)*
      IF($P17=1,
         $S17/12,
         IF(CN$4=1,
            $T17/12,
            IF(CN$4=$P17,
               $U17/12,
               1
      ))),0),
    ROUNDDOWN(
      CN17*IF(CN17*$I17&lt;=$L17,$J17,$I17)*
      IF($P17=1,
         $S17/12,
         IF(CN$4=1,
            $T17/12,
            IF(CN$4=$P17,
               $U17/12,
               1
      ))),0),
    ROUND(
      CN17*IF(CN17*$I17&lt;=$L17,$J17,$I17)*
      IF($P17=1,
         $S17/12,
         IF(CN$4=1,
            $T17/12,
            IF(CN$4=$P17,
               $U17/12,
               1
      ))),0)
))))</f>
        <v>-</v>
      </c>
      <c r="CP17" s="56" t="str">
        <f ca="1">IF($H17=リスト!$AA$4,"-",
   IF($C17="-","-",
     IF(CP$4&gt;$P17,"-",
       IF(CP$4=1,$E17,OFFSET(CP17,0,-2)-OFFSET(CP17,0,-1)
))))</f>
        <v>-</v>
      </c>
      <c r="CQ17" s="57" t="str">
        <f>IF($H17=リスト!$AA$4,"-",
 IF($C17="-","-",
  IF(CP$4&gt;$P17,"-",
   CHOOSE(MATCH($H$3,リスト!$AE$3:$AE$5,0),
    ROUNDUP(
      CP17*IF(CP17*$I17&lt;=$L17,$J17,$I17)*
      IF($P17=1,
         $S17/12,
         IF(CP$4=1,
            $T17/12,
            IF(CP$4=$P17,
               $U17/12,
               1
      ))),0),
    ROUNDDOWN(
      CP17*IF(CP17*$I17&lt;=$L17,$J17,$I17)*
      IF($P17=1,
         $S17/12,
         IF(CP$4=1,
            $T17/12,
            IF(CP$4=$P17,
               $U17/12,
               1
      ))),0),
    ROUND(
      CP17*IF(CP17*$I17&lt;=$L17,$J17,$I17)*
      IF($P17=1,
         $S17/12,
         IF(CP$4=1,
            $T17/12,
            IF(CP$4=$P17,
               $U17/12,
               1
      ))),0)
))))</f>
        <v>-</v>
      </c>
      <c r="CR17" s="56" t="str">
        <f ca="1">IF($H17=リスト!$AA$4,"-",
   IF($C17="-","-",
     IF(CR$4&gt;$P17,"-",
       IF(CR$4=1,$E17,OFFSET(CR17,0,-2)-OFFSET(CR17,0,-1)
))))</f>
        <v>-</v>
      </c>
      <c r="CS17" s="57" t="str">
        <f>IF($H17=リスト!$AA$4,"-",
 IF($C17="-","-",
  IF(CR$4&gt;$P17,"-",
   CHOOSE(MATCH($H$3,リスト!$AE$3:$AE$5,0),
    ROUNDUP(
      CR17*IF(CR17*$I17&lt;=$L17,$J17,$I17)*
      IF($P17=1,
         $S17/12,
         IF(CR$4=1,
            $T17/12,
            IF(CR$4=$P17,
               $U17/12,
               1
      ))),0),
    ROUNDDOWN(
      CR17*IF(CR17*$I17&lt;=$L17,$J17,$I17)*
      IF($P17=1,
         $S17/12,
         IF(CR$4=1,
            $T17/12,
            IF(CR$4=$P17,
               $U17/12,
               1
      ))),0),
    ROUND(
      CR17*IF(CR17*$I17&lt;=$L17,$J17,$I17)*
      IF($P17=1,
         $S17/12,
         IF(CR$4=1,
            $T17/12,
            IF(CR$4=$P17,
               $U17/12,
               1
      ))),0)
))))</f>
        <v>-</v>
      </c>
      <c r="CT17" s="56" t="str">
        <f ca="1">IF($H17=リスト!$AA$4,"-",
   IF($C17="-","-",
     IF(CT$4&gt;$P17,"-",
       IF(CT$4=1,$E17,OFFSET(CT17,0,-2)-OFFSET(CT17,0,-1)
))))</f>
        <v>-</v>
      </c>
      <c r="CU17" s="57" t="str">
        <f>IF($H17=リスト!$AA$4,"-",
 IF($C17="-","-",
  IF(CT$4&gt;$P17,"-",
   CHOOSE(MATCH($H$3,リスト!$AE$3:$AE$5,0),
    ROUNDUP(
      CT17*IF(CT17*$I17&lt;=$L17,$J17,$I17)*
      IF($P17=1,
         $S17/12,
         IF(CT$4=1,
            $T17/12,
            IF(CT$4=$P17,
               $U17/12,
               1
      ))),0),
    ROUNDDOWN(
      CT17*IF(CT17*$I17&lt;=$L17,$J17,$I17)*
      IF($P17=1,
         $S17/12,
         IF(CT$4=1,
            $T17/12,
            IF(CT$4=$P17,
               $U17/12,
               1
      ))),0),
    ROUND(
      CT17*IF(CT17*$I17&lt;=$L17,$J17,$I17)*
      IF($P17=1,
         $S17/12,
         IF(CT$4=1,
            $T17/12,
            IF(CT$4=$P17,
               $U17/12,
               1
      ))),0)
))))</f>
        <v>-</v>
      </c>
      <c r="CV17" s="56" t="str">
        <f ca="1">IF($H17=リスト!$AA$4,"-",
   IF($C17="-","-",
     IF(CV$4&gt;$P17,"-",
       IF(CV$4=1,$E17,OFFSET(CV17,0,-2)-OFFSET(CV17,0,-1)
))))</f>
        <v>-</v>
      </c>
      <c r="CW17" s="57" t="str">
        <f>IF($H17=リスト!$AA$4,"-",
 IF($C17="-","-",
  IF(CV$4&gt;$P17,"-",
   CHOOSE(MATCH($H$3,リスト!$AE$3:$AE$5,0),
    ROUNDUP(
      CV17*IF(CV17*$I17&lt;=$L17,$J17,$I17)*
      IF($P17=1,
         $S17/12,
         IF(CV$4=1,
            $T17/12,
            IF(CV$4=$P17,
               $U17/12,
               1
      ))),0),
    ROUNDDOWN(
      CV17*IF(CV17*$I17&lt;=$L17,$J17,$I17)*
      IF($P17=1,
         $S17/12,
         IF(CV$4=1,
            $T17/12,
            IF(CV$4=$P17,
               $U17/12,
               1
      ))),0),
    ROUND(
      CV17*IF(CV17*$I17&lt;=$L17,$J17,$I17)*
      IF($P17=1,
         $S17/12,
         IF(CV$4=1,
            $T17/12,
            IF(CV$4=$P17,
               $U17/12,
               1
      ))),0)
))))</f>
        <v>-</v>
      </c>
      <c r="CX17" s="56" t="str">
        <f ca="1">IF($H17=リスト!$AA$4,"-",
   IF($C17="-","-",
     IF(CX$4&gt;$P17,"-",
       IF(CX$4=1,$E17,OFFSET(CX17,0,-2)-OFFSET(CX17,0,-1)
))))</f>
        <v>-</v>
      </c>
      <c r="CY17" s="57" t="str">
        <f>IF($H17=リスト!$AA$4,"-",
 IF($C17="-","-",
  IF(CX$4&gt;$P17,"-",
   CHOOSE(MATCH($H$3,リスト!$AE$3:$AE$5,0),
    ROUNDUP(
      CX17*IF(CX17*$I17&lt;=$L17,$J17,$I17)*
      IF($P17=1,
         $S17/12,
         IF(CX$4=1,
            $T17/12,
            IF(CX$4=$P17,
               $U17/12,
               1
      ))),0),
    ROUNDDOWN(
      CX17*IF(CX17*$I17&lt;=$L17,$J17,$I17)*
      IF($P17=1,
         $S17/12,
         IF(CX$4=1,
            $T17/12,
            IF(CX$4=$P17,
               $U17/12,
               1
      ))),0),
    ROUND(
      CX17*IF(CX17*$I17&lt;=$L17,$J17,$I17)*
      IF($P17=1,
         $S17/12,
         IF(CX$4=1,
            $T17/12,
            IF(CX$4=$P17,
               $U17/12,
               1
      ))),0)
))))</f>
        <v>-</v>
      </c>
      <c r="CZ17" s="56" t="str">
        <f ca="1">IF($H17=リスト!$AA$4,"-",
   IF($C17="-","-",
     IF(CZ$4&gt;$P17,"-",
       IF(CZ$4=1,$E17,OFFSET(CZ17,0,-2)-OFFSET(CZ17,0,-1)
))))</f>
        <v>-</v>
      </c>
      <c r="DA17" s="57" t="str">
        <f>IF($H17=リスト!$AA$4,"-",
 IF($C17="-","-",
  IF(CZ$4&gt;$P17,"-",
   CHOOSE(MATCH($H$3,リスト!$AE$3:$AE$5,0),
    ROUNDUP(
      CZ17*IF(CZ17*$I17&lt;=$L17,$J17,$I17)*
      IF($P17=1,
         $S17/12,
         IF(CZ$4=1,
            $T17/12,
            IF(CZ$4=$P17,
               $U17/12,
               1
      ))),0),
    ROUNDDOWN(
      CZ17*IF(CZ17*$I17&lt;=$L17,$J17,$I17)*
      IF($P17=1,
         $S17/12,
         IF(CZ$4=1,
            $T17/12,
            IF(CZ$4=$P17,
               $U17/12,
               1
      ))),0),
    ROUND(
      CZ17*IF(CZ17*$I17&lt;=$L17,$J17,$I17)*
      IF($P17=1,
         $S17/12,
         IF(CZ$4=1,
            $T17/12,
            IF(CZ$4=$P17,
               $U17/12,
               1
      ))),0)
))))</f>
        <v>-</v>
      </c>
      <c r="DB17" s="56" t="str">
        <f ca="1">IF($H17=リスト!$AA$4,"-",
   IF($C17="-","-",
     IF(DB$4&gt;$P17,"-",
       IF(DB$4=1,$E17,OFFSET(DB17,0,-2)-OFFSET(DB17,0,-1)
))))</f>
        <v>-</v>
      </c>
      <c r="DC17" s="57" t="str">
        <f>IF($H17=リスト!$AA$4,"-",
 IF($C17="-","-",
  IF(DB$4&gt;$P17,"-",
   CHOOSE(MATCH($H$3,リスト!$AE$3:$AE$5,0),
    ROUNDUP(
      DB17*IF(DB17*$I17&lt;=$L17,$J17,$I17)*
      IF($P17=1,
         $S17/12,
         IF(DB$4=1,
            $T17/12,
            IF(DB$4=$P17,
               $U17/12,
               1
      ))),0),
    ROUNDDOWN(
      DB17*IF(DB17*$I17&lt;=$L17,$J17,$I17)*
      IF($P17=1,
         $S17/12,
         IF(DB$4=1,
            $T17/12,
            IF(DB$4=$P17,
               $U17/12,
               1
      ))),0),
    ROUND(
      DB17*IF(DB17*$I17&lt;=$L17,$J17,$I17)*
      IF($P17=1,
         $S17/12,
         IF(DB$4=1,
            $T17/12,
            IF(DB$4=$P17,
               $U17/12,
               1
      ))),0)
))))</f>
        <v>-</v>
      </c>
      <c r="DD17" s="56" t="str">
        <f ca="1">IF($H17=リスト!$AA$4,"-",
   IF($C17="-","-",
     IF(DD$4&gt;$P17,"-",
       IF(DD$4=1,$E17,OFFSET(DD17,0,-2)-OFFSET(DD17,0,-1)
))))</f>
        <v>-</v>
      </c>
      <c r="DE17" s="57" t="str">
        <f>IF($H17=リスト!$AA$4,"-",
 IF($C17="-","-",
  IF(DD$4&gt;$P17,"-",
   CHOOSE(MATCH($H$3,リスト!$AE$3:$AE$5,0),
    ROUNDUP(
      DD17*IF(DD17*$I17&lt;=$L17,$J17,$I17)*
      IF($P17=1,
         $S17/12,
         IF(DD$4=1,
            $T17/12,
            IF(DD$4=$P17,
               $U17/12,
               1
      ))),0),
    ROUNDDOWN(
      DD17*IF(DD17*$I17&lt;=$L17,$J17,$I17)*
      IF($P17=1,
         $S17/12,
         IF(DD$4=1,
            $T17/12,
            IF(DD$4=$P17,
               $U17/12,
               1
      ))),0),
    ROUND(
      DD17*IF(DD17*$I17&lt;=$L17,$J17,$I17)*
      IF($P17=1,
         $S17/12,
         IF(DD$4=1,
            $T17/12,
            IF(DD$4=$P17,
               $U17/12,
               1
      ))),0)
))))</f>
        <v>-</v>
      </c>
      <c r="DF17" s="56" t="str">
        <f ca="1">IF($H17=リスト!$AA$4,"-",
   IF($C17="-","-",
     IF(DF$4&gt;$P17,"-",
       IF(DF$4=1,$E17,OFFSET(DF17,0,-2)-OFFSET(DF17,0,-1)
))))</f>
        <v>-</v>
      </c>
      <c r="DG17" s="57" t="str">
        <f>IF($H17=リスト!$AA$4,"-",
 IF($C17="-","-",
  IF(DF$4&gt;$P17,"-",
   CHOOSE(MATCH($H$3,リスト!$AE$3:$AE$5,0),
    ROUNDUP(
      DF17*IF(DF17*$I17&lt;=$L17,$J17,$I17)*
      IF($P17=1,
         $S17/12,
         IF(DF$4=1,
            $T17/12,
            IF(DF$4=$P17,
               $U17/12,
               1
      ))),0),
    ROUNDDOWN(
      DF17*IF(DF17*$I17&lt;=$L17,$J17,$I17)*
      IF($P17=1,
         $S17/12,
         IF(DF$4=1,
            $T17/12,
            IF(DF$4=$P17,
               $U17/12,
               1
      ))),0),
    ROUND(
      DF17*IF(DF17*$I17&lt;=$L17,$J17,$I17)*
      IF($P17=1,
         $S17/12,
         IF(DF$4=1,
            $T17/12,
            IF(DF$4=$P17,
               $U17/12,
               1
      ))),0)
))))</f>
        <v>-</v>
      </c>
      <c r="DH17" s="56" t="str">
        <f ca="1">IF($H17=リスト!$AA$4,"-",
   IF($C17="-","-",
     IF(DH$4&gt;$P17,"-",
       IF(DH$4=1,$E17,OFFSET(DH17,0,-2)-OFFSET(DH17,0,-1)
))))</f>
        <v>-</v>
      </c>
      <c r="DI17" s="57" t="str">
        <f>IF($H17=リスト!$AA$4,"-",
 IF($C17="-","-",
  IF(DH$4&gt;$P17,"-",
   CHOOSE(MATCH($H$3,リスト!$AE$3:$AE$5,0),
    ROUNDUP(
      DH17*IF(DH17*$I17&lt;=$L17,$J17,$I17)*
      IF($P17=1,
         $S17/12,
         IF(DH$4=1,
            $T17/12,
            IF(DH$4=$P17,
               $U17/12,
               1
      ))),0),
    ROUNDDOWN(
      DH17*IF(DH17*$I17&lt;=$L17,$J17,$I17)*
      IF($P17=1,
         $S17/12,
         IF(DH$4=1,
            $T17/12,
            IF(DH$4=$P17,
               $U17/12,
               1
      ))),0),
    ROUND(
      DH17*IF(DH17*$I17&lt;=$L17,$J17,$I17)*
      IF($P17=1,
         $S17/12,
         IF(DH$4=1,
            $T17/12,
            IF(DH$4=$P17,
               $U17/12,
               1
      ))),0)
))))</f>
        <v>-</v>
      </c>
      <c r="DJ17" s="56" t="str">
        <f ca="1">IF($H17=リスト!$AA$4,"-",
   IF($C17="-","-",
     IF(DJ$4&gt;$P17,"-",
       IF(DJ$4=1,$E17,OFFSET(DJ17,0,-2)-OFFSET(DJ17,0,-1)
))))</f>
        <v>-</v>
      </c>
      <c r="DK17" s="57" t="str">
        <f>IF($H17=リスト!$AA$4,"-",
 IF($C17="-","-",
  IF(DJ$4&gt;$P17,"-",
   CHOOSE(MATCH($H$3,リスト!$AE$3:$AE$5,0),
    ROUNDUP(
      DJ17*IF(DJ17*$I17&lt;=$L17,$J17,$I17)*
      IF($P17=1,
         $S17/12,
         IF(DJ$4=1,
            $T17/12,
            IF(DJ$4=$P17,
               $U17/12,
               1
      ))),0),
    ROUNDDOWN(
      DJ17*IF(DJ17*$I17&lt;=$L17,$J17,$I17)*
      IF($P17=1,
         $S17/12,
         IF(DJ$4=1,
            $T17/12,
            IF(DJ$4=$P17,
               $U17/12,
               1
      ))),0),
    ROUND(
      DJ17*IF(DJ17*$I17&lt;=$L17,$J17,$I17)*
      IF($P17=1,
         $S17/12,
         IF(DJ$4=1,
            $T17/12,
            IF(DJ$4=$P17,
               $U17/12,
               1
      ))),0)
))))</f>
        <v>-</v>
      </c>
      <c r="DL17" s="56" t="str">
        <f ca="1">IF($H17=リスト!$AA$4,"-",
   IF($C17="-","-",
     IF(DL$4&gt;$P17,"-",
       IF(DL$4=1,$E17,OFFSET(DL17,0,-2)-OFFSET(DL17,0,-1)
))))</f>
        <v>-</v>
      </c>
      <c r="DM17" s="57" t="str">
        <f>IF($H17=リスト!$AA$4,"-",
 IF($C17="-","-",
  IF(DL$4&gt;$P17,"-",
   CHOOSE(MATCH($H$3,リスト!$AE$3:$AE$5,0),
    ROUNDUP(
      DL17*IF(DL17*$I17&lt;=$L17,$J17,$I17)*
      IF($P17=1,
         $S17/12,
         IF(DL$4=1,
            $T17/12,
            IF(DL$4=$P17,
               $U17/12,
               1
      ))),0),
    ROUNDDOWN(
      DL17*IF(DL17*$I17&lt;=$L17,$J17,$I17)*
      IF($P17=1,
         $S17/12,
         IF(DL$4=1,
            $T17/12,
            IF(DL$4=$P17,
               $U17/12,
               1
      ))),0),
    ROUND(
      DL17*IF(DL17*$I17&lt;=$L17,$J17,$I17)*
      IF($P17=1,
         $S17/12,
         IF(DL$4=1,
            $T17/12,
            IF(DL$4=$P17,
               $U17/12,
               1
      ))),0)
))))</f>
        <v>-</v>
      </c>
      <c r="DN17" s="56" t="str">
        <f ca="1">IF($H17=リスト!$AA$4,"-",
   IF($C17="-","-",
     IF(DN$4&gt;$P17,"-",
       IF(DN$4=1,$E17,OFFSET(DN17,0,-2)-OFFSET(DN17,0,-1)
))))</f>
        <v>-</v>
      </c>
      <c r="DO17" s="57" t="str">
        <f>IF($H17=リスト!$AA$4,"-",
 IF($C17="-","-",
  IF(DN$4&gt;$P17,"-",
   CHOOSE(MATCH($H$3,リスト!$AE$3:$AE$5,0),
    ROUNDUP(
      DN17*IF(DN17*$I17&lt;=$L17,$J17,$I17)*
      IF($P17=1,
         $S17/12,
         IF(DN$4=1,
            $T17/12,
            IF(DN$4=$P17,
               $U17/12,
               1
      ))),0),
    ROUNDDOWN(
      DN17*IF(DN17*$I17&lt;=$L17,$J17,$I17)*
      IF($P17=1,
         $S17/12,
         IF(DN$4=1,
            $T17/12,
            IF(DN$4=$P17,
               $U17/12,
               1
      ))),0),
    ROUND(
      DN17*IF(DN17*$I17&lt;=$L17,$J17,$I17)*
      IF($P17=1,
         $S17/12,
         IF(DN$4=1,
            $T17/12,
            IF(DN$4=$P17,
               $U17/12,
               1
      ))),0)
))))</f>
        <v>-</v>
      </c>
      <c r="DP17" s="56" t="str">
        <f ca="1">IF($H17=リスト!$AA$4,"-",
   IF($C17="-","-",
     IF(DP$4&gt;$P17,"-",
       IF(DP$4=1,$E17,OFFSET(DP17,0,-2)-OFFSET(DP17,0,-1)
))))</f>
        <v>-</v>
      </c>
      <c r="DQ17" s="57" t="str">
        <f>IF($H17=リスト!$AA$4,"-",
 IF($C17="-","-",
  IF(DP$4&gt;$P17,"-",
   CHOOSE(MATCH($H$3,リスト!$AE$3:$AE$5,0),
    ROUNDUP(
      DP17*IF(DP17*$I17&lt;=$L17,$J17,$I17)*
      IF($P17=1,
         $S17/12,
         IF(DP$4=1,
            $T17/12,
            IF(DP$4=$P17,
               $U17/12,
               1
      ))),0),
    ROUNDDOWN(
      DP17*IF(DP17*$I17&lt;=$L17,$J17,$I17)*
      IF($P17=1,
         $S17/12,
         IF(DP$4=1,
            $T17/12,
            IF(DP$4=$P17,
               $U17/12,
               1
      ))),0),
    ROUND(
      DP17*IF(DP17*$I17&lt;=$L17,$J17,$I17)*
      IF($P17=1,
         $S17/12,
         IF(DP$4=1,
            $T17/12,
            IF(DP$4=$P17,
               $U17/12,
               1
      ))),0)
))))</f>
        <v>-</v>
      </c>
      <c r="DR17" s="56" t="str">
        <f ca="1">IF($H17=リスト!$AA$4,"-",
   IF($C17="-","-",
     IF(DR$4&gt;$P17,"-",
       IF(DR$4=1,$E17,OFFSET(DR17,0,-2)-OFFSET(DR17,0,-1)
))))</f>
        <v>-</v>
      </c>
      <c r="DS17" s="57" t="str">
        <f>IF($H17=リスト!$AA$4,"-",
 IF($C17="-","-",
  IF(DR$4&gt;$P17,"-",
   CHOOSE(MATCH($H$3,リスト!$AE$3:$AE$5,0),
    ROUNDUP(
      DR17*IF(DR17*$I17&lt;=$L17,$J17,$I17)*
      IF($P17=1,
         $S17/12,
         IF(DR$4=1,
            $T17/12,
            IF(DR$4=$P17,
               $U17/12,
               1
      ))),0),
    ROUNDDOWN(
      DR17*IF(DR17*$I17&lt;=$L17,$J17,$I17)*
      IF($P17=1,
         $S17/12,
         IF(DR$4=1,
            $T17/12,
            IF(DR$4=$P17,
               $U17/12,
               1
      ))),0),
    ROUND(
      DR17*IF(DR17*$I17&lt;=$L17,$J17,$I17)*
      IF($P17=1,
         $S17/12,
         IF(DR$4=1,
            $T17/12,
            IF(DR$4=$P17,
               $U17/12,
               1
      ))),0)
))))</f>
        <v>-</v>
      </c>
      <c r="DT17" s="56" t="str" cm="1">
        <f t="array" ref="DT17">IF($H17&lt;&gt;リスト!$AA$3,"-",$E17-SUMPRODUCT(IFERROR($Y17:$DS17*1,0), --(MOD(COLUMN($Y17:$DS17)-COLUMN($Y17),2)=0)))</f>
        <v>-</v>
      </c>
      <c r="DU17" s="56" t="str">
        <f>IF($H17&lt;&gt;リスト!$AA$4,"-",
    IF($H$3=リスト!$AE$3,$E17-ROUNDUP($E17*I17*$W17/12,0),
    IF($H$3=リスト!$AE$4,$E17-ROUNDDOWN($E17*I17*$W17/12,0),
    IF($H$3=リスト!$AE$5,$E17-ROUND($E17*I17*$W17/12,0),
    "-"))))</f>
        <v>-</v>
      </c>
    </row>
    <row r="18" spans="2:125">
      <c r="B18" s="54">
        <v>13</v>
      </c>
      <c r="C18" s="55" t="str">
        <f>IF(財産処分報告用!$C18="","-",財産処分報告用!$C18)</f>
        <v>-</v>
      </c>
      <c r="D18" s="55" t="str">
        <f>財産処分報告用!$E18</f>
        <v>-</v>
      </c>
      <c r="E18" s="56" t="str">
        <f>IF(財産処分報告用!$J18="","-",財産処分報告用!$J18)</f>
        <v>-</v>
      </c>
      <c r="F18" s="101" t="str">
        <f>IF(財産処分報告用!$K18="","-",財産処分報告用!$K18)</f>
        <v>-</v>
      </c>
      <c r="G18" s="101" t="str">
        <f>IF(財産処分報告用!$L18="","-",財産処分報告用!$L18)</f>
        <v>-</v>
      </c>
      <c r="H18" s="55" t="str">
        <f>IF(財産処分報告用!$M18="","-",財産処分報告用!$M18)</f>
        <v>-</v>
      </c>
      <c r="I18" s="55" t="str">
        <f>IF(OR($D18="-",$H18="-"),"-",INDEX(リスト!$AG$2:$AI$101,MATCH($D18,リスト!$AG$2:$AG$101,0),MATCH($H18,リスト!$AG$2:$AI$2,0)))</f>
        <v>-</v>
      </c>
      <c r="J18" s="55" t="str">
        <f>IF(OR($D18="-",$H18="-"),"-",IF($H18=リスト!$AA$4,"-",INDEX(リスト!$AG$2:$AK$101,MATCH($D18,リスト!$AG$2:$AG$101,0),4)))</f>
        <v>-</v>
      </c>
      <c r="K18" s="55" t="str">
        <f>IF(OR($D18="-",$H18="-"),"-",IF($H18=リスト!$AA$4,"-",INDEX(リスト!$AG$2:$AK$101,MATCH($D18,リスト!$AG$2:$AG$101,0),5)))</f>
        <v>-</v>
      </c>
      <c r="L18" s="55" t="str">
        <f t="shared" si="0"/>
        <v>-</v>
      </c>
      <c r="M18" s="101" t="str">
        <f t="shared" si="1"/>
        <v>-</v>
      </c>
      <c r="N18" s="101" t="str">
        <f t="shared" si="2"/>
        <v>-</v>
      </c>
      <c r="O18" s="101" t="str">
        <f t="shared" si="3"/>
        <v>-</v>
      </c>
      <c r="P18" s="102" t="str">
        <f t="shared" si="4"/>
        <v>-</v>
      </c>
      <c r="Q18" s="115" t="str">
        <f t="shared" si="5"/>
        <v>-</v>
      </c>
      <c r="R18" s="116" t="str">
        <f t="shared" si="6"/>
        <v>-</v>
      </c>
      <c r="S18" s="102" t="str">
        <f t="shared" si="7"/>
        <v>-</v>
      </c>
      <c r="T18" s="102" t="str">
        <f t="shared" si="8"/>
        <v>-</v>
      </c>
      <c r="U18" s="102" t="str">
        <f t="shared" si="9"/>
        <v>-</v>
      </c>
      <c r="V18" s="102" t="str">
        <f t="shared" si="10"/>
        <v>-</v>
      </c>
      <c r="W18" s="55" t="str">
        <f t="shared" si="11"/>
        <v>-</v>
      </c>
      <c r="X18" s="56" t="str">
        <f ca="1">IF($H18=リスト!$AA$4,"-",
   IF($C18="-","-",
     IF(X$4&gt;$P18,"-",
       IF(X$4=1,$E18,OFFSET(X18,0,-2)-OFFSET(X18,0,-1)
))))</f>
        <v>-</v>
      </c>
      <c r="Y18" s="57" t="str">
        <f>IF($H18=リスト!$AA$4,"-",
 IF($C18="-","-",
  IF(X$4&gt;$P18,"-",
   CHOOSE(MATCH($H$3,リスト!$AE$3:$AE$5,0),
    ROUNDUP(
      X18*IF(X18*$I18&lt;=$L18,$J18,$I18)*
      IF($P18=1,
         $S18/12,
         IF(X$4=1,
            $T18/12,
            IF(X$4=$P18,
               $U18/12,
               1
      ))),0),
    ROUNDDOWN(
      X18*IF(X18*$I18&lt;=$L18,$J18,$I18)*
      IF($P18=1,
         $S18/12,
         IF(X$4=1,
            $T18/12,
            IF(X$4=$P18,
               $U18/12,
               1
      ))),0),
    ROUND(
      X18*IF(X18*$I18&lt;=$L18,$J18,$I18)*
      IF($P18=1,
         $S18/12,
         IF(X$4=1,
            $T18/12,
            IF(X$4=$P18,
               $U18/12,
               1
      ))),0)
))))</f>
        <v>-</v>
      </c>
      <c r="Z18" s="56" t="str">
        <f ca="1">IF($H18=リスト!$AA$4,"-",
   IF($C18="-","-",
     IF(Z$4&gt;$P18,"-",
       IF(Z$4=1,$E18,OFFSET(Z18,0,-2)-OFFSET(Z18,0,-1)
))))</f>
        <v>-</v>
      </c>
      <c r="AA18" s="57" t="str">
        <f>IF($H18=リスト!$AA$4,"-",
 IF($C18="-","-",
  IF(Z$4&gt;$P18,"-",
   CHOOSE(MATCH($H$3,リスト!$AE$3:$AE$5,0),
    ROUNDUP(
      Z18*IF(Z18*$I18&lt;=$L18,$J18,$I18)*
      IF($P18=1,
         $S18/12,
         IF(Z$4=1,
            $T18/12,
            IF(Z$4=$P18,
               $U18/12,
               1
      ))),0),
    ROUNDDOWN(
      Z18*IF(Z18*$I18&lt;=$L18,$J18,$I18)*
      IF($P18=1,
         $S18/12,
         IF(Z$4=1,
            $T18/12,
            IF(Z$4=$P18,
               $U18/12,
               1
      ))),0),
    ROUND(
      Z18*IF(Z18*$I18&lt;=$L18,$J18,$I18)*
      IF($P18=1,
         $S18/12,
         IF(Z$4=1,
            $T18/12,
            IF(Z$4=$P18,
               $U18/12,
               1
      ))),0)
))))</f>
        <v>-</v>
      </c>
      <c r="AB18" s="56" t="str">
        <f ca="1">IF($H18=リスト!$AA$4,"-",
   IF($C18="-","-",
     IF(AB$4&gt;$P18,"-",
       IF(AB$4=1,$E18,OFFSET(AB18,0,-2)-OFFSET(AB18,0,-1)
))))</f>
        <v>-</v>
      </c>
      <c r="AC18" s="57" t="str">
        <f>IF($H18=リスト!$AA$4,"-",
 IF($C18="-","-",
  IF(AB$4&gt;$P18,"-",
   CHOOSE(MATCH($H$3,リスト!$AE$3:$AE$5,0),
    ROUNDUP(
      AB18*IF(AB18*$I18&lt;=$L18,$J18,$I18)*
      IF($P18=1,
         $S18/12,
         IF(AB$4=1,
            $T18/12,
            IF(AB$4=$P18,
               $U18/12,
               1
      ))),0),
    ROUNDDOWN(
      AB18*IF(AB18*$I18&lt;=$L18,$J18,$I18)*
      IF($P18=1,
         $S18/12,
         IF(AB$4=1,
            $T18/12,
            IF(AB$4=$P18,
               $U18/12,
               1
      ))),0),
    ROUND(
      AB18*IF(AB18*$I18&lt;=$L18,$J18,$I18)*
      IF($P18=1,
         $S18/12,
         IF(AB$4=1,
            $T18/12,
            IF(AB$4=$P18,
               $U18/12,
               1
      ))),0)
))))</f>
        <v>-</v>
      </c>
      <c r="AD18" s="56" t="str">
        <f ca="1">IF($H18=リスト!$AA$4,"-",
   IF($C18="-","-",
     IF(AD$4&gt;$P18,"-",
       IF(AD$4=1,$E18,OFFSET(AD18,0,-2)-OFFSET(AD18,0,-1)
))))</f>
        <v>-</v>
      </c>
      <c r="AE18" s="57" t="str">
        <f>IF($H18=リスト!$AA$4,"-",
 IF($C18="-","-",
  IF(AD$4&gt;$P18,"-",
   CHOOSE(MATCH($H$3,リスト!$AE$3:$AE$5,0),
    ROUNDUP(
      AD18*IF(AD18*$I18&lt;=$L18,$J18,$I18)*
      IF($P18=1,
         $S18/12,
         IF(AD$4=1,
            $T18/12,
            IF(AD$4=$P18,
               $U18/12,
               1
      ))),0),
    ROUNDDOWN(
      AD18*IF(AD18*$I18&lt;=$L18,$J18,$I18)*
      IF($P18=1,
         $S18/12,
         IF(AD$4=1,
            $T18/12,
            IF(AD$4=$P18,
               $U18/12,
               1
      ))),0),
    ROUND(
      AD18*IF(AD18*$I18&lt;=$L18,$J18,$I18)*
      IF($P18=1,
         $S18/12,
         IF(AD$4=1,
            $T18/12,
            IF(AD$4=$P18,
               $U18/12,
               1
      ))),0)
))))</f>
        <v>-</v>
      </c>
      <c r="AF18" s="56" t="str">
        <f ca="1">IF($H18=リスト!$AA$4,"-",
   IF($C18="-","-",
     IF(AF$4&gt;$P18,"-",
       IF(AF$4=1,$E18,OFFSET(AF18,0,-2)-OFFSET(AF18,0,-1)
))))</f>
        <v>-</v>
      </c>
      <c r="AG18" s="57" t="str">
        <f>IF($H18=リスト!$AA$4,"-",
 IF($C18="-","-",
  IF(AF$4&gt;$P18,"-",
   CHOOSE(MATCH($H$3,リスト!$AE$3:$AE$5,0),
    ROUNDUP(
      AF18*IF(AF18*$I18&lt;=$L18,$J18,$I18)*
      IF($P18=1,
         $S18/12,
         IF(AF$4=1,
            $T18/12,
            IF(AF$4=$P18,
               $U18/12,
               1
      ))),0),
    ROUNDDOWN(
      AF18*IF(AF18*$I18&lt;=$L18,$J18,$I18)*
      IF($P18=1,
         $S18/12,
         IF(AF$4=1,
            $T18/12,
            IF(AF$4=$P18,
               $U18/12,
               1
      ))),0),
    ROUND(
      AF18*IF(AF18*$I18&lt;=$L18,$J18,$I18)*
      IF($P18=1,
         $S18/12,
         IF(AF$4=1,
            $T18/12,
            IF(AF$4=$P18,
               $U18/12,
               1
      ))),0)
))))</f>
        <v>-</v>
      </c>
      <c r="AH18" s="56" t="str">
        <f ca="1">IF($H18=リスト!$AA$4,"-",
   IF($C18="-","-",
     IF(AH$4&gt;$P18,"-",
       IF(AH$4=1,$E18,OFFSET(AH18,0,-2)-OFFSET(AH18,0,-1)
))))</f>
        <v>-</v>
      </c>
      <c r="AI18" s="57" t="str">
        <f>IF($H18=リスト!$AA$4,"-",
 IF($C18="-","-",
  IF(AH$4&gt;$P18,"-",
   CHOOSE(MATCH($H$3,リスト!$AE$3:$AE$5,0),
    ROUNDUP(
      AH18*IF(AH18*$I18&lt;=$L18,$J18,$I18)*
      IF($P18=1,
         $S18/12,
         IF(AH$4=1,
            $T18/12,
            IF(AH$4=$P18,
               $U18/12,
               1
      ))),0),
    ROUNDDOWN(
      AH18*IF(AH18*$I18&lt;=$L18,$J18,$I18)*
      IF($P18=1,
         $S18/12,
         IF(AH$4=1,
            $T18/12,
            IF(AH$4=$P18,
               $U18/12,
               1
      ))),0),
    ROUND(
      AH18*IF(AH18*$I18&lt;=$L18,$J18,$I18)*
      IF($P18=1,
         $S18/12,
         IF(AH$4=1,
            $T18/12,
            IF(AH$4=$P18,
               $U18/12,
               1
      ))),0)
))))</f>
        <v>-</v>
      </c>
      <c r="AJ18" s="56" t="str">
        <f ca="1">IF($H18=リスト!$AA$4,"-",
   IF($C18="-","-",
     IF(AJ$4&gt;$P18,"-",
       IF(AJ$4=1,$E18,OFFSET(AJ18,0,-2)-OFFSET(AJ18,0,-1)
))))</f>
        <v>-</v>
      </c>
      <c r="AK18" s="57" t="str">
        <f>IF($H18=リスト!$AA$4,"-",
 IF($C18="-","-",
  IF(AJ$4&gt;$P18,"-",
   CHOOSE(MATCH($H$3,リスト!$AE$3:$AE$5,0),
    ROUNDUP(
      AJ18*IF(AJ18*$I18&lt;=$L18,$J18,$I18)*
      IF($P18=1,
         $S18/12,
         IF(AJ$4=1,
            $T18/12,
            IF(AJ$4=$P18,
               $U18/12,
               1
      ))),0),
    ROUNDDOWN(
      AJ18*IF(AJ18*$I18&lt;=$L18,$J18,$I18)*
      IF($P18=1,
         $S18/12,
         IF(AJ$4=1,
            $T18/12,
            IF(AJ$4=$P18,
               $U18/12,
               1
      ))),0),
    ROUND(
      AJ18*IF(AJ18*$I18&lt;=$L18,$J18,$I18)*
      IF($P18=1,
         $S18/12,
         IF(AJ$4=1,
            $T18/12,
            IF(AJ$4=$P18,
               $U18/12,
               1
      ))),0)
))))</f>
        <v>-</v>
      </c>
      <c r="AL18" s="56" t="str">
        <f ca="1">IF($H18=リスト!$AA$4,"-",
   IF($C18="-","-",
     IF(AL$4&gt;$P18,"-",
       IF(AL$4=1,$E18,OFFSET(AL18,0,-2)-OFFSET(AL18,0,-1)
))))</f>
        <v>-</v>
      </c>
      <c r="AM18" s="57" t="str">
        <f>IF($H18=リスト!$AA$4,"-",
 IF($C18="-","-",
  IF(AL$4&gt;$P18,"-",
   CHOOSE(MATCH($H$3,リスト!$AE$3:$AE$5,0),
    ROUNDUP(
      AL18*IF(AL18*$I18&lt;=$L18,$J18,$I18)*
      IF($P18=1,
         $S18/12,
         IF(AL$4=1,
            $T18/12,
            IF(AL$4=$P18,
               $U18/12,
               1
      ))),0),
    ROUNDDOWN(
      AL18*IF(AL18*$I18&lt;=$L18,$J18,$I18)*
      IF($P18=1,
         $S18/12,
         IF(AL$4=1,
            $T18/12,
            IF(AL$4=$P18,
               $U18/12,
               1
      ))),0),
    ROUND(
      AL18*IF(AL18*$I18&lt;=$L18,$J18,$I18)*
      IF($P18=1,
         $S18/12,
         IF(AL$4=1,
            $T18/12,
            IF(AL$4=$P18,
               $U18/12,
               1
      ))),0)
))))</f>
        <v>-</v>
      </c>
      <c r="AN18" s="56" t="str">
        <f ca="1">IF($H18=リスト!$AA$4,"-",
   IF($C18="-","-",
     IF(AN$4&gt;$P18,"-",
       IF(AN$4=1,$E18,OFFSET(AN18,0,-2)-OFFSET(AN18,0,-1)
))))</f>
        <v>-</v>
      </c>
      <c r="AO18" s="57" t="str">
        <f>IF($H18=リスト!$AA$4,"-",
 IF($C18="-","-",
  IF(AN$4&gt;$P18,"-",
   CHOOSE(MATCH($H$3,リスト!$AE$3:$AE$5,0),
    ROUNDUP(
      AN18*IF(AN18*$I18&lt;=$L18,$J18,$I18)*
      IF($P18=1,
         $S18/12,
         IF(AN$4=1,
            $T18/12,
            IF(AN$4=$P18,
               $U18/12,
               1
      ))),0),
    ROUNDDOWN(
      AN18*IF(AN18*$I18&lt;=$L18,$J18,$I18)*
      IF($P18=1,
         $S18/12,
         IF(AN$4=1,
            $T18/12,
            IF(AN$4=$P18,
               $U18/12,
               1
      ))),0),
    ROUND(
      AN18*IF(AN18*$I18&lt;=$L18,$J18,$I18)*
      IF($P18=1,
         $S18/12,
         IF(AN$4=1,
            $T18/12,
            IF(AN$4=$P18,
               $U18/12,
               1
      ))),0)
))))</f>
        <v>-</v>
      </c>
      <c r="AP18" s="56" t="str">
        <f ca="1">IF($H18=リスト!$AA$4,"-",
   IF($C18="-","-",
     IF(AP$4&gt;$P18,"-",
       IF(AP$4=1,$E18,OFFSET(AP18,0,-2)-OFFSET(AP18,0,-1)
))))</f>
        <v>-</v>
      </c>
      <c r="AQ18" s="57" t="str">
        <f>IF($H18=リスト!$AA$4,"-",
 IF($C18="-","-",
  IF(AP$4&gt;$P18,"-",
   CHOOSE(MATCH($H$3,リスト!$AE$3:$AE$5,0),
    ROUNDUP(
      AP18*IF(AP18*$I18&lt;=$L18,$J18,$I18)*
      IF($P18=1,
         $S18/12,
         IF(AP$4=1,
            $T18/12,
            IF(AP$4=$P18,
               $U18/12,
               1
      ))),0),
    ROUNDDOWN(
      AP18*IF(AP18*$I18&lt;=$L18,$J18,$I18)*
      IF($P18=1,
         $S18/12,
         IF(AP$4=1,
            $T18/12,
            IF(AP$4=$P18,
               $U18/12,
               1
      ))),0),
    ROUND(
      AP18*IF(AP18*$I18&lt;=$L18,$J18,$I18)*
      IF($P18=1,
         $S18/12,
         IF(AP$4=1,
            $T18/12,
            IF(AP$4=$P18,
               $U18/12,
               1
      ))),0)
))))</f>
        <v>-</v>
      </c>
      <c r="AR18" s="56" t="str">
        <f ca="1">IF($H18=リスト!$AA$4,"-",
   IF($C18="-","-",
     IF(AR$4&gt;$P18,"-",
       IF(AR$4=1,$E18,OFFSET(AR18,0,-2)-OFFSET(AR18,0,-1)
))))</f>
        <v>-</v>
      </c>
      <c r="AS18" s="57" t="str">
        <f>IF($H18=リスト!$AA$4,"-",
 IF($C18="-","-",
  IF(AR$4&gt;$P18,"-",
   CHOOSE(MATCH($H$3,リスト!$AE$3:$AE$5,0),
    ROUNDUP(
      AR18*IF(AR18*$I18&lt;=$L18,$J18,$I18)*
      IF($P18=1,
         $S18/12,
         IF(AR$4=1,
            $T18/12,
            IF(AR$4=$P18,
               $U18/12,
               1
      ))),0),
    ROUNDDOWN(
      AR18*IF(AR18*$I18&lt;=$L18,$J18,$I18)*
      IF($P18=1,
         $S18/12,
         IF(AR$4=1,
            $T18/12,
            IF(AR$4=$P18,
               $U18/12,
               1
      ))),0),
    ROUND(
      AR18*IF(AR18*$I18&lt;=$L18,$J18,$I18)*
      IF($P18=1,
         $S18/12,
         IF(AR$4=1,
            $T18/12,
            IF(AR$4=$P18,
               $U18/12,
               1
      ))),0)
))))</f>
        <v>-</v>
      </c>
      <c r="AT18" s="56" t="str">
        <f ca="1">IF($H18=リスト!$AA$4,"-",
   IF($C18="-","-",
     IF(AT$4&gt;$P18,"-",
       IF(AT$4=1,$E18,OFFSET(AT18,0,-2)-OFFSET(AT18,0,-1)
))))</f>
        <v>-</v>
      </c>
      <c r="AU18" s="57" t="str">
        <f>IF($H18=リスト!$AA$4,"-",
 IF($C18="-","-",
  IF(AT$4&gt;$P18,"-",
   CHOOSE(MATCH($H$3,リスト!$AE$3:$AE$5,0),
    ROUNDUP(
      AT18*IF(AT18*$I18&lt;=$L18,$J18,$I18)*
      IF($P18=1,
         $S18/12,
         IF(AT$4=1,
            $T18/12,
            IF(AT$4=$P18,
               $U18/12,
               1
      ))),0),
    ROUNDDOWN(
      AT18*IF(AT18*$I18&lt;=$L18,$J18,$I18)*
      IF($P18=1,
         $S18/12,
         IF(AT$4=1,
            $T18/12,
            IF(AT$4=$P18,
               $U18/12,
               1
      ))),0),
    ROUND(
      AT18*IF(AT18*$I18&lt;=$L18,$J18,$I18)*
      IF($P18=1,
         $S18/12,
         IF(AT$4=1,
            $T18/12,
            IF(AT$4=$P18,
               $U18/12,
               1
      ))),0)
))))</f>
        <v>-</v>
      </c>
      <c r="AV18" s="56" t="str">
        <f ca="1">IF($H18=リスト!$AA$4,"-",
   IF($C18="-","-",
     IF(AV$4&gt;$P18,"-",
       IF(AV$4=1,$E18,OFFSET(AV18,0,-2)-OFFSET(AV18,0,-1)
))))</f>
        <v>-</v>
      </c>
      <c r="AW18" s="57" t="str">
        <f>IF($H18=リスト!$AA$4,"-",
 IF($C18="-","-",
  IF(AV$4&gt;$P18,"-",
   CHOOSE(MATCH($H$3,リスト!$AE$3:$AE$5,0),
    ROUNDUP(
      AV18*IF(AV18*$I18&lt;=$L18,$J18,$I18)*
      IF($P18=1,
         $S18/12,
         IF(AV$4=1,
            $T18/12,
            IF(AV$4=$P18,
               $U18/12,
               1
      ))),0),
    ROUNDDOWN(
      AV18*IF(AV18*$I18&lt;=$L18,$J18,$I18)*
      IF($P18=1,
         $S18/12,
         IF(AV$4=1,
            $T18/12,
            IF(AV$4=$P18,
               $U18/12,
               1
      ))),0),
    ROUND(
      AV18*IF(AV18*$I18&lt;=$L18,$J18,$I18)*
      IF($P18=1,
         $S18/12,
         IF(AV$4=1,
            $T18/12,
            IF(AV$4=$P18,
               $U18/12,
               1
      ))),0)
))))</f>
        <v>-</v>
      </c>
      <c r="AX18" s="56" t="str">
        <f ca="1">IF($H18=リスト!$AA$4,"-",
   IF($C18="-","-",
     IF(AX$4&gt;$P18,"-",
       IF(AX$4=1,$E18,OFFSET(AX18,0,-2)-OFFSET(AX18,0,-1)
))))</f>
        <v>-</v>
      </c>
      <c r="AY18" s="57" t="str">
        <f>IF($H18=リスト!$AA$4,"-",
 IF($C18="-","-",
  IF(AX$4&gt;$P18,"-",
   CHOOSE(MATCH($H$3,リスト!$AE$3:$AE$5,0),
    ROUNDUP(
      AX18*IF(AX18*$I18&lt;=$L18,$J18,$I18)*
      IF($P18=1,
         $S18/12,
         IF(AX$4=1,
            $T18/12,
            IF(AX$4=$P18,
               $U18/12,
               1
      ))),0),
    ROUNDDOWN(
      AX18*IF(AX18*$I18&lt;=$L18,$J18,$I18)*
      IF($P18=1,
         $S18/12,
         IF(AX$4=1,
            $T18/12,
            IF(AX$4=$P18,
               $U18/12,
               1
      ))),0),
    ROUND(
      AX18*IF(AX18*$I18&lt;=$L18,$J18,$I18)*
      IF($P18=1,
         $S18/12,
         IF(AX$4=1,
            $T18/12,
            IF(AX$4=$P18,
               $U18/12,
               1
      ))),0)
))))</f>
        <v>-</v>
      </c>
      <c r="AZ18" s="56" t="str">
        <f ca="1">IF($H18=リスト!$AA$4,"-",
   IF($C18="-","-",
     IF(AZ$4&gt;$P18,"-",
       IF(AZ$4=1,$E18,OFFSET(AZ18,0,-2)-OFFSET(AZ18,0,-1)
))))</f>
        <v>-</v>
      </c>
      <c r="BA18" s="57" t="str">
        <f>IF($H18=リスト!$AA$4,"-",
 IF($C18="-","-",
  IF(AZ$4&gt;$P18,"-",
   CHOOSE(MATCH($H$3,リスト!$AE$3:$AE$5,0),
    ROUNDUP(
      AZ18*IF(AZ18*$I18&lt;=$L18,$J18,$I18)*
      IF($P18=1,
         $S18/12,
         IF(AZ$4=1,
            $T18/12,
            IF(AZ$4=$P18,
               $U18/12,
               1
      ))),0),
    ROUNDDOWN(
      AZ18*IF(AZ18*$I18&lt;=$L18,$J18,$I18)*
      IF($P18=1,
         $S18/12,
         IF(AZ$4=1,
            $T18/12,
            IF(AZ$4=$P18,
               $U18/12,
               1
      ))),0),
    ROUND(
      AZ18*IF(AZ18*$I18&lt;=$L18,$J18,$I18)*
      IF($P18=1,
         $S18/12,
         IF(AZ$4=1,
            $T18/12,
            IF(AZ$4=$P18,
               $U18/12,
               1
      ))),0)
))))</f>
        <v>-</v>
      </c>
      <c r="BB18" s="56" t="str">
        <f ca="1">IF($H18=リスト!$AA$4,"-",
   IF($C18="-","-",
     IF(BB$4&gt;$P18,"-",
       IF(BB$4=1,$E18,OFFSET(BB18,0,-2)-OFFSET(BB18,0,-1)
))))</f>
        <v>-</v>
      </c>
      <c r="BC18" s="57" t="str">
        <f>IF($H18=リスト!$AA$4,"-",
 IF($C18="-","-",
  IF(BB$4&gt;$P18,"-",
   CHOOSE(MATCH($H$3,リスト!$AE$3:$AE$5,0),
    ROUNDUP(
      BB18*IF(BB18*$I18&lt;=$L18,$J18,$I18)*
      IF($P18=1,
         $S18/12,
         IF(BB$4=1,
            $T18/12,
            IF(BB$4=$P18,
               $U18/12,
               1
      ))),0),
    ROUNDDOWN(
      BB18*IF(BB18*$I18&lt;=$L18,$J18,$I18)*
      IF($P18=1,
         $S18/12,
         IF(BB$4=1,
            $T18/12,
            IF(BB$4=$P18,
               $U18/12,
               1
      ))),0),
    ROUND(
      BB18*IF(BB18*$I18&lt;=$L18,$J18,$I18)*
      IF($P18=1,
         $S18/12,
         IF(BB$4=1,
            $T18/12,
            IF(BB$4=$P18,
               $U18/12,
               1
      ))),0)
))))</f>
        <v>-</v>
      </c>
      <c r="BD18" s="56" t="str">
        <f ca="1">IF($H18=リスト!$AA$4,"-",
   IF($C18="-","-",
     IF(BD$4&gt;$P18,"-",
       IF(BD$4=1,$E18,OFFSET(BD18,0,-2)-OFFSET(BD18,0,-1)
))))</f>
        <v>-</v>
      </c>
      <c r="BE18" s="57" t="str">
        <f>IF($H18=リスト!$AA$4,"-",
 IF($C18="-","-",
  IF(BD$4&gt;$P18,"-",
   CHOOSE(MATCH($H$3,リスト!$AE$3:$AE$5,0),
    ROUNDUP(
      BD18*IF(BD18*$I18&lt;=$L18,$J18,$I18)*
      IF($P18=1,
         $S18/12,
         IF(BD$4=1,
            $T18/12,
            IF(BD$4=$P18,
               $U18/12,
               1
      ))),0),
    ROUNDDOWN(
      BD18*IF(BD18*$I18&lt;=$L18,$J18,$I18)*
      IF($P18=1,
         $S18/12,
         IF(BD$4=1,
            $T18/12,
            IF(BD$4=$P18,
               $U18/12,
               1
      ))),0),
    ROUND(
      BD18*IF(BD18*$I18&lt;=$L18,$J18,$I18)*
      IF($P18=1,
         $S18/12,
         IF(BD$4=1,
            $T18/12,
            IF(BD$4=$P18,
               $U18/12,
               1
      ))),0)
))))</f>
        <v>-</v>
      </c>
      <c r="BF18" s="56" t="str">
        <f ca="1">IF($H18=リスト!$AA$4,"-",
   IF($C18="-","-",
     IF(BF$4&gt;$P18,"-",
       IF(BF$4=1,$E18,OFFSET(BF18,0,-2)-OFFSET(BF18,0,-1)
))))</f>
        <v>-</v>
      </c>
      <c r="BG18" s="57" t="str">
        <f>IF($H18=リスト!$AA$4,"-",
 IF($C18="-","-",
  IF(BF$4&gt;$P18,"-",
   CHOOSE(MATCH($H$3,リスト!$AE$3:$AE$5,0),
    ROUNDUP(
      BF18*IF(BF18*$I18&lt;=$L18,$J18,$I18)*
      IF($P18=1,
         $S18/12,
         IF(BF$4=1,
            $T18/12,
            IF(BF$4=$P18,
               $U18/12,
               1
      ))),0),
    ROUNDDOWN(
      BF18*IF(BF18*$I18&lt;=$L18,$J18,$I18)*
      IF($P18=1,
         $S18/12,
         IF(BF$4=1,
            $T18/12,
            IF(BF$4=$P18,
               $U18/12,
               1
      ))),0),
    ROUND(
      BF18*IF(BF18*$I18&lt;=$L18,$J18,$I18)*
      IF($P18=1,
         $S18/12,
         IF(BF$4=1,
            $T18/12,
            IF(BF$4=$P18,
               $U18/12,
               1
      ))),0)
))))</f>
        <v>-</v>
      </c>
      <c r="BH18" s="56" t="str">
        <f ca="1">IF($H18=リスト!$AA$4,"-",
   IF($C18="-","-",
     IF(BH$4&gt;$P18,"-",
       IF(BH$4=1,$E18,OFFSET(BH18,0,-2)-OFFSET(BH18,0,-1)
))))</f>
        <v>-</v>
      </c>
      <c r="BI18" s="57" t="str">
        <f>IF($H18=リスト!$AA$4,"-",
 IF($C18="-","-",
  IF(BH$4&gt;$P18,"-",
   CHOOSE(MATCH($H$3,リスト!$AE$3:$AE$5,0),
    ROUNDUP(
      BH18*IF(BH18*$I18&lt;=$L18,$J18,$I18)*
      IF($P18=1,
         $S18/12,
         IF(BH$4=1,
            $T18/12,
            IF(BH$4=$P18,
               $U18/12,
               1
      ))),0),
    ROUNDDOWN(
      BH18*IF(BH18*$I18&lt;=$L18,$J18,$I18)*
      IF($P18=1,
         $S18/12,
         IF(BH$4=1,
            $T18/12,
            IF(BH$4=$P18,
               $U18/12,
               1
      ))),0),
    ROUND(
      BH18*IF(BH18*$I18&lt;=$L18,$J18,$I18)*
      IF($P18=1,
         $S18/12,
         IF(BH$4=1,
            $T18/12,
            IF(BH$4=$P18,
               $U18/12,
               1
      ))),0)
))))</f>
        <v>-</v>
      </c>
      <c r="BJ18" s="56" t="str">
        <f ca="1">IF($H18=リスト!$AA$4,"-",
   IF($C18="-","-",
     IF(BJ$4&gt;$P18,"-",
       IF(BJ$4=1,$E18,OFFSET(BJ18,0,-2)-OFFSET(BJ18,0,-1)
))))</f>
        <v>-</v>
      </c>
      <c r="BK18" s="57" t="str">
        <f>IF($H18=リスト!$AA$4,"-",
 IF($C18="-","-",
  IF(BJ$4&gt;$P18,"-",
   CHOOSE(MATCH($H$3,リスト!$AE$3:$AE$5,0),
    ROUNDUP(
      BJ18*IF(BJ18*$I18&lt;=$L18,$J18,$I18)*
      IF($P18=1,
         $S18/12,
         IF(BJ$4=1,
            $T18/12,
            IF(BJ$4=$P18,
               $U18/12,
               1
      ))),0),
    ROUNDDOWN(
      BJ18*IF(BJ18*$I18&lt;=$L18,$J18,$I18)*
      IF($P18=1,
         $S18/12,
         IF(BJ$4=1,
            $T18/12,
            IF(BJ$4=$P18,
               $U18/12,
               1
      ))),0),
    ROUND(
      BJ18*IF(BJ18*$I18&lt;=$L18,$J18,$I18)*
      IF($P18=1,
         $S18/12,
         IF(BJ$4=1,
            $T18/12,
            IF(BJ$4=$P18,
               $U18/12,
               1
      ))),0)
))))</f>
        <v>-</v>
      </c>
      <c r="BL18" s="56" t="str">
        <f ca="1">IF($H18=リスト!$AA$4,"-",
   IF($C18="-","-",
     IF(BL$4&gt;$P18,"-",
       IF(BL$4=1,$E18,OFFSET(BL18,0,-2)-OFFSET(BL18,0,-1)
))))</f>
        <v>-</v>
      </c>
      <c r="BM18" s="57" t="str">
        <f>IF($H18=リスト!$AA$4,"-",
 IF($C18="-","-",
  IF(BL$4&gt;$P18,"-",
   CHOOSE(MATCH($H$3,リスト!$AE$3:$AE$5,0),
    ROUNDUP(
      BL18*IF(BL18*$I18&lt;=$L18,$J18,$I18)*
      IF($P18=1,
         $S18/12,
         IF(BL$4=1,
            $T18/12,
            IF(BL$4=$P18,
               $U18/12,
               1
      ))),0),
    ROUNDDOWN(
      BL18*IF(BL18*$I18&lt;=$L18,$J18,$I18)*
      IF($P18=1,
         $S18/12,
         IF(BL$4=1,
            $T18/12,
            IF(BL$4=$P18,
               $U18/12,
               1
      ))),0),
    ROUND(
      BL18*IF(BL18*$I18&lt;=$L18,$J18,$I18)*
      IF($P18=1,
         $S18/12,
         IF(BL$4=1,
            $T18/12,
            IF(BL$4=$P18,
               $U18/12,
               1
      ))),0)
))))</f>
        <v>-</v>
      </c>
      <c r="BN18" s="56" t="str">
        <f ca="1">IF($H18=リスト!$AA$4,"-",
   IF($C18="-","-",
     IF(BN$4&gt;$P18,"-",
       IF(BN$4=1,$E18,OFFSET(BN18,0,-2)-OFFSET(BN18,0,-1)
))))</f>
        <v>-</v>
      </c>
      <c r="BO18" s="57" t="str">
        <f>IF($H18=リスト!$AA$4,"-",
 IF($C18="-","-",
  IF(BN$4&gt;$P18,"-",
   CHOOSE(MATCH($H$3,リスト!$AE$3:$AE$5,0),
    ROUNDUP(
      BN18*IF(BN18*$I18&lt;=$L18,$J18,$I18)*
      IF($P18=1,
         $S18/12,
         IF(BN$4=1,
            $T18/12,
            IF(BN$4=$P18,
               $U18/12,
               1
      ))),0),
    ROUNDDOWN(
      BN18*IF(BN18*$I18&lt;=$L18,$J18,$I18)*
      IF($P18=1,
         $S18/12,
         IF(BN$4=1,
            $T18/12,
            IF(BN$4=$P18,
               $U18/12,
               1
      ))),0),
    ROUND(
      BN18*IF(BN18*$I18&lt;=$L18,$J18,$I18)*
      IF($P18=1,
         $S18/12,
         IF(BN$4=1,
            $T18/12,
            IF(BN$4=$P18,
               $U18/12,
               1
      ))),0)
))))</f>
        <v>-</v>
      </c>
      <c r="BP18" s="56" t="str">
        <f ca="1">IF($H18=リスト!$AA$4,"-",
   IF($C18="-","-",
     IF(BP$4&gt;$P18,"-",
       IF(BP$4=1,$E18,OFFSET(BP18,0,-2)-OFFSET(BP18,0,-1)
))))</f>
        <v>-</v>
      </c>
      <c r="BQ18" s="57" t="str">
        <f>IF($H18=リスト!$AA$4,"-",
 IF($C18="-","-",
  IF(BP$4&gt;$P18,"-",
   CHOOSE(MATCH($H$3,リスト!$AE$3:$AE$5,0),
    ROUNDUP(
      BP18*IF(BP18*$I18&lt;=$L18,$J18,$I18)*
      IF($P18=1,
         $S18/12,
         IF(BP$4=1,
            $T18/12,
            IF(BP$4=$P18,
               $U18/12,
               1
      ))),0),
    ROUNDDOWN(
      BP18*IF(BP18*$I18&lt;=$L18,$J18,$I18)*
      IF($P18=1,
         $S18/12,
         IF(BP$4=1,
            $T18/12,
            IF(BP$4=$P18,
               $U18/12,
               1
      ))),0),
    ROUND(
      BP18*IF(BP18*$I18&lt;=$L18,$J18,$I18)*
      IF($P18=1,
         $S18/12,
         IF(BP$4=1,
            $T18/12,
            IF(BP$4=$P18,
               $U18/12,
               1
      ))),0)
))))</f>
        <v>-</v>
      </c>
      <c r="BR18" s="56" t="str">
        <f ca="1">IF($H18=リスト!$AA$4,"-",
   IF($C18="-","-",
     IF(BR$4&gt;$P18,"-",
       IF(BR$4=1,$E18,OFFSET(BR18,0,-2)-OFFSET(BR18,0,-1)
))))</f>
        <v>-</v>
      </c>
      <c r="BS18" s="57" t="str">
        <f>IF($H18=リスト!$AA$4,"-",
 IF($C18="-","-",
  IF(BR$4&gt;$P18,"-",
   CHOOSE(MATCH($H$3,リスト!$AE$3:$AE$5,0),
    ROUNDUP(
      BR18*IF(BR18*$I18&lt;=$L18,$J18,$I18)*
      IF($P18=1,
         $S18/12,
         IF(BR$4=1,
            $T18/12,
            IF(BR$4=$P18,
               $U18/12,
               1
      ))),0),
    ROUNDDOWN(
      BR18*IF(BR18*$I18&lt;=$L18,$J18,$I18)*
      IF($P18=1,
         $S18/12,
         IF(BR$4=1,
            $T18/12,
            IF(BR$4=$P18,
               $U18/12,
               1
      ))),0),
    ROUND(
      BR18*IF(BR18*$I18&lt;=$L18,$J18,$I18)*
      IF($P18=1,
         $S18/12,
         IF(BR$4=1,
            $T18/12,
            IF(BR$4=$P18,
               $U18/12,
               1
      ))),0)
))))</f>
        <v>-</v>
      </c>
      <c r="BT18" s="56" t="str">
        <f ca="1">IF($H18=リスト!$AA$4,"-",
   IF($C18="-","-",
     IF(BT$4&gt;$P18,"-",
       IF(BT$4=1,$E18,OFFSET(BT18,0,-2)-OFFSET(BT18,0,-1)
))))</f>
        <v>-</v>
      </c>
      <c r="BU18" s="57" t="str">
        <f>IF($H18=リスト!$AA$4,"-",
 IF($C18="-","-",
  IF(BT$4&gt;$P18,"-",
   CHOOSE(MATCH($H$3,リスト!$AE$3:$AE$5,0),
    ROUNDUP(
      BT18*IF(BT18*$I18&lt;=$L18,$J18,$I18)*
      IF($P18=1,
         $S18/12,
         IF(BT$4=1,
            $T18/12,
            IF(BT$4=$P18,
               $U18/12,
               1
      ))),0),
    ROUNDDOWN(
      BT18*IF(BT18*$I18&lt;=$L18,$J18,$I18)*
      IF($P18=1,
         $S18/12,
         IF(BT$4=1,
            $T18/12,
            IF(BT$4=$P18,
               $U18/12,
               1
      ))),0),
    ROUND(
      BT18*IF(BT18*$I18&lt;=$L18,$J18,$I18)*
      IF($P18=1,
         $S18/12,
         IF(BT$4=1,
            $T18/12,
            IF(BT$4=$P18,
               $U18/12,
               1
      ))),0)
))))</f>
        <v>-</v>
      </c>
      <c r="BV18" s="56" t="str">
        <f ca="1">IF($H18=リスト!$AA$4,"-",
   IF($C18="-","-",
     IF(BV$4&gt;$P18,"-",
       IF(BV$4=1,$E18,OFFSET(BV18,0,-2)-OFFSET(BV18,0,-1)
))))</f>
        <v>-</v>
      </c>
      <c r="BW18" s="57" t="str">
        <f>IF($H18=リスト!$AA$4,"-",
 IF($C18="-","-",
  IF(BV$4&gt;$P18,"-",
   CHOOSE(MATCH($H$3,リスト!$AE$3:$AE$5,0),
    ROUNDUP(
      BV18*IF(BV18*$I18&lt;=$L18,$J18,$I18)*
      IF($P18=1,
         $S18/12,
         IF(BV$4=1,
            $T18/12,
            IF(BV$4=$P18,
               $U18/12,
               1
      ))),0),
    ROUNDDOWN(
      BV18*IF(BV18*$I18&lt;=$L18,$J18,$I18)*
      IF($P18=1,
         $S18/12,
         IF(BV$4=1,
            $T18/12,
            IF(BV$4=$P18,
               $U18/12,
               1
      ))),0),
    ROUND(
      BV18*IF(BV18*$I18&lt;=$L18,$J18,$I18)*
      IF($P18=1,
         $S18/12,
         IF(BV$4=1,
            $T18/12,
            IF(BV$4=$P18,
               $U18/12,
               1
      ))),0)
))))</f>
        <v>-</v>
      </c>
      <c r="BX18" s="56" t="str">
        <f ca="1">IF($H18=リスト!$AA$4,"-",
   IF($C18="-","-",
     IF(BX$4&gt;$P18,"-",
       IF(BX$4=1,$E18,OFFSET(BX18,0,-2)-OFFSET(BX18,0,-1)
))))</f>
        <v>-</v>
      </c>
      <c r="BY18" s="57" t="str">
        <f>IF($H18=リスト!$AA$4,"-",
 IF($C18="-","-",
  IF(BX$4&gt;$P18,"-",
   CHOOSE(MATCH($H$3,リスト!$AE$3:$AE$5,0),
    ROUNDUP(
      BX18*IF(BX18*$I18&lt;=$L18,$J18,$I18)*
      IF($P18=1,
         $S18/12,
         IF(BX$4=1,
            $T18/12,
            IF(BX$4=$P18,
               $U18/12,
               1
      ))),0),
    ROUNDDOWN(
      BX18*IF(BX18*$I18&lt;=$L18,$J18,$I18)*
      IF($P18=1,
         $S18/12,
         IF(BX$4=1,
            $T18/12,
            IF(BX$4=$P18,
               $U18/12,
               1
      ))),0),
    ROUND(
      BX18*IF(BX18*$I18&lt;=$L18,$J18,$I18)*
      IF($P18=1,
         $S18/12,
         IF(BX$4=1,
            $T18/12,
            IF(BX$4=$P18,
               $U18/12,
               1
      ))),0)
))))</f>
        <v>-</v>
      </c>
      <c r="BZ18" s="56" t="str">
        <f ca="1">IF($H18=リスト!$AA$4,"-",
   IF($C18="-","-",
     IF(BZ$4&gt;$P18,"-",
       IF(BZ$4=1,$E18,OFFSET(BZ18,0,-2)-OFFSET(BZ18,0,-1)
))))</f>
        <v>-</v>
      </c>
      <c r="CA18" s="57" t="str">
        <f>IF($H18=リスト!$AA$4,"-",
 IF($C18="-","-",
  IF(BZ$4&gt;$P18,"-",
   CHOOSE(MATCH($H$3,リスト!$AE$3:$AE$5,0),
    ROUNDUP(
      BZ18*IF(BZ18*$I18&lt;=$L18,$J18,$I18)*
      IF($P18=1,
         $S18/12,
         IF(BZ$4=1,
            $T18/12,
            IF(BZ$4=$P18,
               $U18/12,
               1
      ))),0),
    ROUNDDOWN(
      BZ18*IF(BZ18*$I18&lt;=$L18,$J18,$I18)*
      IF($P18=1,
         $S18/12,
         IF(BZ$4=1,
            $T18/12,
            IF(BZ$4=$P18,
               $U18/12,
               1
      ))),0),
    ROUND(
      BZ18*IF(BZ18*$I18&lt;=$L18,$J18,$I18)*
      IF($P18=1,
         $S18/12,
         IF(BZ$4=1,
            $T18/12,
            IF(BZ$4=$P18,
               $U18/12,
               1
      ))),0)
))))</f>
        <v>-</v>
      </c>
      <c r="CB18" s="56" t="str">
        <f ca="1">IF($H18=リスト!$AA$4,"-",
   IF($C18="-","-",
     IF(CB$4&gt;$P18,"-",
       IF(CB$4=1,$E18,OFFSET(CB18,0,-2)-OFFSET(CB18,0,-1)
))))</f>
        <v>-</v>
      </c>
      <c r="CC18" s="57" t="str">
        <f>IF($H18=リスト!$AA$4,"-",
 IF($C18="-","-",
  IF(CB$4&gt;$P18,"-",
   CHOOSE(MATCH($H$3,リスト!$AE$3:$AE$5,0),
    ROUNDUP(
      CB18*IF(CB18*$I18&lt;=$L18,$J18,$I18)*
      IF($P18=1,
         $S18/12,
         IF(CB$4=1,
            $T18/12,
            IF(CB$4=$P18,
               $U18/12,
               1
      ))),0),
    ROUNDDOWN(
      CB18*IF(CB18*$I18&lt;=$L18,$J18,$I18)*
      IF($P18=1,
         $S18/12,
         IF(CB$4=1,
            $T18/12,
            IF(CB$4=$P18,
               $U18/12,
               1
      ))),0),
    ROUND(
      CB18*IF(CB18*$I18&lt;=$L18,$J18,$I18)*
      IF($P18=1,
         $S18/12,
         IF(CB$4=1,
            $T18/12,
            IF(CB$4=$P18,
               $U18/12,
               1
      ))),0)
))))</f>
        <v>-</v>
      </c>
      <c r="CD18" s="56" t="str">
        <f ca="1">IF($H18=リスト!$AA$4,"-",
   IF($C18="-","-",
     IF(CD$4&gt;$P18,"-",
       IF(CD$4=1,$E18,OFFSET(CD18,0,-2)-OFFSET(CD18,0,-1)
))))</f>
        <v>-</v>
      </c>
      <c r="CE18" s="57" t="str">
        <f>IF($H18=リスト!$AA$4,"-",
 IF($C18="-","-",
  IF(CD$4&gt;$P18,"-",
   CHOOSE(MATCH($H$3,リスト!$AE$3:$AE$5,0),
    ROUNDUP(
      CD18*IF(CD18*$I18&lt;=$L18,$J18,$I18)*
      IF($P18=1,
         $S18/12,
         IF(CD$4=1,
            $T18/12,
            IF(CD$4=$P18,
               $U18/12,
               1
      ))),0),
    ROUNDDOWN(
      CD18*IF(CD18*$I18&lt;=$L18,$J18,$I18)*
      IF($P18=1,
         $S18/12,
         IF(CD$4=1,
            $T18/12,
            IF(CD$4=$P18,
               $U18/12,
               1
      ))),0),
    ROUND(
      CD18*IF(CD18*$I18&lt;=$L18,$J18,$I18)*
      IF($P18=1,
         $S18/12,
         IF(CD$4=1,
            $T18/12,
            IF(CD$4=$P18,
               $U18/12,
               1
      ))),0)
))))</f>
        <v>-</v>
      </c>
      <c r="CF18" s="56" t="str">
        <f ca="1">IF($H18=リスト!$AA$4,"-",
   IF($C18="-","-",
     IF(CF$4&gt;$P18,"-",
       IF(CF$4=1,$E18,OFFSET(CF18,0,-2)-OFFSET(CF18,0,-1)
))))</f>
        <v>-</v>
      </c>
      <c r="CG18" s="57" t="str">
        <f>IF($H18=リスト!$AA$4,"-",
 IF($C18="-","-",
  IF(CF$4&gt;$P18,"-",
   CHOOSE(MATCH($H$3,リスト!$AE$3:$AE$5,0),
    ROUNDUP(
      CF18*IF(CF18*$I18&lt;=$L18,$J18,$I18)*
      IF($P18=1,
         $S18/12,
         IF(CF$4=1,
            $T18/12,
            IF(CF$4=$P18,
               $U18/12,
               1
      ))),0),
    ROUNDDOWN(
      CF18*IF(CF18*$I18&lt;=$L18,$J18,$I18)*
      IF($P18=1,
         $S18/12,
         IF(CF$4=1,
            $T18/12,
            IF(CF$4=$P18,
               $U18/12,
               1
      ))),0),
    ROUND(
      CF18*IF(CF18*$I18&lt;=$L18,$J18,$I18)*
      IF($P18=1,
         $S18/12,
         IF(CF$4=1,
            $T18/12,
            IF(CF$4=$P18,
               $U18/12,
               1
      ))),0)
))))</f>
        <v>-</v>
      </c>
      <c r="CH18" s="56" t="str">
        <f ca="1">IF($H18=リスト!$AA$4,"-",
   IF($C18="-","-",
     IF(CH$4&gt;$P18,"-",
       IF(CH$4=1,$E18,OFFSET(CH18,0,-2)-OFFSET(CH18,0,-1)
))))</f>
        <v>-</v>
      </c>
      <c r="CI18" s="57" t="str">
        <f>IF($H18=リスト!$AA$4,"-",
 IF($C18="-","-",
  IF(CH$4&gt;$P18,"-",
   CHOOSE(MATCH($H$3,リスト!$AE$3:$AE$5,0),
    ROUNDUP(
      CH18*IF(CH18*$I18&lt;=$L18,$J18,$I18)*
      IF($P18=1,
         $S18/12,
         IF(CH$4=1,
            $T18/12,
            IF(CH$4=$P18,
               $U18/12,
               1
      ))),0),
    ROUNDDOWN(
      CH18*IF(CH18*$I18&lt;=$L18,$J18,$I18)*
      IF($P18=1,
         $S18/12,
         IF(CH$4=1,
            $T18/12,
            IF(CH$4=$P18,
               $U18/12,
               1
      ))),0),
    ROUND(
      CH18*IF(CH18*$I18&lt;=$L18,$J18,$I18)*
      IF($P18=1,
         $S18/12,
         IF(CH$4=1,
            $T18/12,
            IF(CH$4=$P18,
               $U18/12,
               1
      ))),0)
))))</f>
        <v>-</v>
      </c>
      <c r="CJ18" s="56" t="str">
        <f ca="1">IF($H18=リスト!$AA$4,"-",
   IF($C18="-","-",
     IF(CJ$4&gt;$P18,"-",
       IF(CJ$4=1,$E18,OFFSET(CJ18,0,-2)-OFFSET(CJ18,0,-1)
))))</f>
        <v>-</v>
      </c>
      <c r="CK18" s="57" t="str">
        <f>IF($H18=リスト!$AA$4,"-",
 IF($C18="-","-",
  IF(CJ$4&gt;$P18,"-",
   CHOOSE(MATCH($H$3,リスト!$AE$3:$AE$5,0),
    ROUNDUP(
      CJ18*IF(CJ18*$I18&lt;=$L18,$J18,$I18)*
      IF($P18=1,
         $S18/12,
         IF(CJ$4=1,
            $T18/12,
            IF(CJ$4=$P18,
               $U18/12,
               1
      ))),0),
    ROUNDDOWN(
      CJ18*IF(CJ18*$I18&lt;=$L18,$J18,$I18)*
      IF($P18=1,
         $S18/12,
         IF(CJ$4=1,
            $T18/12,
            IF(CJ$4=$P18,
               $U18/12,
               1
      ))),0),
    ROUND(
      CJ18*IF(CJ18*$I18&lt;=$L18,$J18,$I18)*
      IF($P18=1,
         $S18/12,
         IF(CJ$4=1,
            $T18/12,
            IF(CJ$4=$P18,
               $U18/12,
               1
      ))),0)
))))</f>
        <v>-</v>
      </c>
      <c r="CL18" s="56" t="str">
        <f ca="1">IF($H18=リスト!$AA$4,"-",
   IF($C18="-","-",
     IF(CL$4&gt;$P18,"-",
       IF(CL$4=1,$E18,OFFSET(CL18,0,-2)-OFFSET(CL18,0,-1)
))))</f>
        <v>-</v>
      </c>
      <c r="CM18" s="57" t="str">
        <f>IF($H18=リスト!$AA$4,"-",
 IF($C18="-","-",
  IF(CL$4&gt;$P18,"-",
   CHOOSE(MATCH($H$3,リスト!$AE$3:$AE$5,0),
    ROUNDUP(
      CL18*IF(CL18*$I18&lt;=$L18,$J18,$I18)*
      IF($P18=1,
         $S18/12,
         IF(CL$4=1,
            $T18/12,
            IF(CL$4=$P18,
               $U18/12,
               1
      ))),0),
    ROUNDDOWN(
      CL18*IF(CL18*$I18&lt;=$L18,$J18,$I18)*
      IF($P18=1,
         $S18/12,
         IF(CL$4=1,
            $T18/12,
            IF(CL$4=$P18,
               $U18/12,
               1
      ))),0),
    ROUND(
      CL18*IF(CL18*$I18&lt;=$L18,$J18,$I18)*
      IF($P18=1,
         $S18/12,
         IF(CL$4=1,
            $T18/12,
            IF(CL$4=$P18,
               $U18/12,
               1
      ))),0)
))))</f>
        <v>-</v>
      </c>
      <c r="CN18" s="56" t="str">
        <f ca="1">IF($H18=リスト!$AA$4,"-",
   IF($C18="-","-",
     IF(CN$4&gt;$P18,"-",
       IF(CN$4=1,$E18,OFFSET(CN18,0,-2)-OFFSET(CN18,0,-1)
))))</f>
        <v>-</v>
      </c>
      <c r="CO18" s="57" t="str">
        <f>IF($H18=リスト!$AA$4,"-",
 IF($C18="-","-",
  IF(CN$4&gt;$P18,"-",
   CHOOSE(MATCH($H$3,リスト!$AE$3:$AE$5,0),
    ROUNDUP(
      CN18*IF(CN18*$I18&lt;=$L18,$J18,$I18)*
      IF($P18=1,
         $S18/12,
         IF(CN$4=1,
            $T18/12,
            IF(CN$4=$P18,
               $U18/12,
               1
      ))),0),
    ROUNDDOWN(
      CN18*IF(CN18*$I18&lt;=$L18,$J18,$I18)*
      IF($P18=1,
         $S18/12,
         IF(CN$4=1,
            $T18/12,
            IF(CN$4=$P18,
               $U18/12,
               1
      ))),0),
    ROUND(
      CN18*IF(CN18*$I18&lt;=$L18,$J18,$I18)*
      IF($P18=1,
         $S18/12,
         IF(CN$4=1,
            $T18/12,
            IF(CN$4=$P18,
               $U18/12,
               1
      ))),0)
))))</f>
        <v>-</v>
      </c>
      <c r="CP18" s="56" t="str">
        <f ca="1">IF($H18=リスト!$AA$4,"-",
   IF($C18="-","-",
     IF(CP$4&gt;$P18,"-",
       IF(CP$4=1,$E18,OFFSET(CP18,0,-2)-OFFSET(CP18,0,-1)
))))</f>
        <v>-</v>
      </c>
      <c r="CQ18" s="57" t="str">
        <f>IF($H18=リスト!$AA$4,"-",
 IF($C18="-","-",
  IF(CP$4&gt;$P18,"-",
   CHOOSE(MATCH($H$3,リスト!$AE$3:$AE$5,0),
    ROUNDUP(
      CP18*IF(CP18*$I18&lt;=$L18,$J18,$I18)*
      IF($P18=1,
         $S18/12,
         IF(CP$4=1,
            $T18/12,
            IF(CP$4=$P18,
               $U18/12,
               1
      ))),0),
    ROUNDDOWN(
      CP18*IF(CP18*$I18&lt;=$L18,$J18,$I18)*
      IF($P18=1,
         $S18/12,
         IF(CP$4=1,
            $T18/12,
            IF(CP$4=$P18,
               $U18/12,
               1
      ))),0),
    ROUND(
      CP18*IF(CP18*$I18&lt;=$L18,$J18,$I18)*
      IF($P18=1,
         $S18/12,
         IF(CP$4=1,
            $T18/12,
            IF(CP$4=$P18,
               $U18/12,
               1
      ))),0)
))))</f>
        <v>-</v>
      </c>
      <c r="CR18" s="56" t="str">
        <f ca="1">IF($H18=リスト!$AA$4,"-",
   IF($C18="-","-",
     IF(CR$4&gt;$P18,"-",
       IF(CR$4=1,$E18,OFFSET(CR18,0,-2)-OFFSET(CR18,0,-1)
))))</f>
        <v>-</v>
      </c>
      <c r="CS18" s="57" t="str">
        <f>IF($H18=リスト!$AA$4,"-",
 IF($C18="-","-",
  IF(CR$4&gt;$P18,"-",
   CHOOSE(MATCH($H$3,リスト!$AE$3:$AE$5,0),
    ROUNDUP(
      CR18*IF(CR18*$I18&lt;=$L18,$J18,$I18)*
      IF($P18=1,
         $S18/12,
         IF(CR$4=1,
            $T18/12,
            IF(CR$4=$P18,
               $U18/12,
               1
      ))),0),
    ROUNDDOWN(
      CR18*IF(CR18*$I18&lt;=$L18,$J18,$I18)*
      IF($P18=1,
         $S18/12,
         IF(CR$4=1,
            $T18/12,
            IF(CR$4=$P18,
               $U18/12,
               1
      ))),0),
    ROUND(
      CR18*IF(CR18*$I18&lt;=$L18,$J18,$I18)*
      IF($P18=1,
         $S18/12,
         IF(CR$4=1,
            $T18/12,
            IF(CR$4=$P18,
               $U18/12,
               1
      ))),0)
))))</f>
        <v>-</v>
      </c>
      <c r="CT18" s="56" t="str">
        <f ca="1">IF($H18=リスト!$AA$4,"-",
   IF($C18="-","-",
     IF(CT$4&gt;$P18,"-",
       IF(CT$4=1,$E18,OFFSET(CT18,0,-2)-OFFSET(CT18,0,-1)
))))</f>
        <v>-</v>
      </c>
      <c r="CU18" s="57" t="str">
        <f>IF($H18=リスト!$AA$4,"-",
 IF($C18="-","-",
  IF(CT$4&gt;$P18,"-",
   CHOOSE(MATCH($H$3,リスト!$AE$3:$AE$5,0),
    ROUNDUP(
      CT18*IF(CT18*$I18&lt;=$L18,$J18,$I18)*
      IF($P18=1,
         $S18/12,
         IF(CT$4=1,
            $T18/12,
            IF(CT$4=$P18,
               $U18/12,
               1
      ))),0),
    ROUNDDOWN(
      CT18*IF(CT18*$I18&lt;=$L18,$J18,$I18)*
      IF($P18=1,
         $S18/12,
         IF(CT$4=1,
            $T18/12,
            IF(CT$4=$P18,
               $U18/12,
               1
      ))),0),
    ROUND(
      CT18*IF(CT18*$I18&lt;=$L18,$J18,$I18)*
      IF($P18=1,
         $S18/12,
         IF(CT$4=1,
            $T18/12,
            IF(CT$4=$P18,
               $U18/12,
               1
      ))),0)
))))</f>
        <v>-</v>
      </c>
      <c r="CV18" s="56" t="str">
        <f ca="1">IF($H18=リスト!$AA$4,"-",
   IF($C18="-","-",
     IF(CV$4&gt;$P18,"-",
       IF(CV$4=1,$E18,OFFSET(CV18,0,-2)-OFFSET(CV18,0,-1)
))))</f>
        <v>-</v>
      </c>
      <c r="CW18" s="57" t="str">
        <f>IF($H18=リスト!$AA$4,"-",
 IF($C18="-","-",
  IF(CV$4&gt;$P18,"-",
   CHOOSE(MATCH($H$3,リスト!$AE$3:$AE$5,0),
    ROUNDUP(
      CV18*IF(CV18*$I18&lt;=$L18,$J18,$I18)*
      IF($P18=1,
         $S18/12,
         IF(CV$4=1,
            $T18/12,
            IF(CV$4=$P18,
               $U18/12,
               1
      ))),0),
    ROUNDDOWN(
      CV18*IF(CV18*$I18&lt;=$L18,$J18,$I18)*
      IF($P18=1,
         $S18/12,
         IF(CV$4=1,
            $T18/12,
            IF(CV$4=$P18,
               $U18/12,
               1
      ))),0),
    ROUND(
      CV18*IF(CV18*$I18&lt;=$L18,$J18,$I18)*
      IF($P18=1,
         $S18/12,
         IF(CV$4=1,
            $T18/12,
            IF(CV$4=$P18,
               $U18/12,
               1
      ))),0)
))))</f>
        <v>-</v>
      </c>
      <c r="CX18" s="56" t="str">
        <f ca="1">IF($H18=リスト!$AA$4,"-",
   IF($C18="-","-",
     IF(CX$4&gt;$P18,"-",
       IF(CX$4=1,$E18,OFFSET(CX18,0,-2)-OFFSET(CX18,0,-1)
))))</f>
        <v>-</v>
      </c>
      <c r="CY18" s="57" t="str">
        <f>IF($H18=リスト!$AA$4,"-",
 IF($C18="-","-",
  IF(CX$4&gt;$P18,"-",
   CHOOSE(MATCH($H$3,リスト!$AE$3:$AE$5,0),
    ROUNDUP(
      CX18*IF(CX18*$I18&lt;=$L18,$J18,$I18)*
      IF($P18=1,
         $S18/12,
         IF(CX$4=1,
            $T18/12,
            IF(CX$4=$P18,
               $U18/12,
               1
      ))),0),
    ROUNDDOWN(
      CX18*IF(CX18*$I18&lt;=$L18,$J18,$I18)*
      IF($P18=1,
         $S18/12,
         IF(CX$4=1,
            $T18/12,
            IF(CX$4=$P18,
               $U18/12,
               1
      ))),0),
    ROUND(
      CX18*IF(CX18*$I18&lt;=$L18,$J18,$I18)*
      IF($P18=1,
         $S18/12,
         IF(CX$4=1,
            $T18/12,
            IF(CX$4=$P18,
               $U18/12,
               1
      ))),0)
))))</f>
        <v>-</v>
      </c>
      <c r="CZ18" s="56" t="str">
        <f ca="1">IF($H18=リスト!$AA$4,"-",
   IF($C18="-","-",
     IF(CZ$4&gt;$P18,"-",
       IF(CZ$4=1,$E18,OFFSET(CZ18,0,-2)-OFFSET(CZ18,0,-1)
))))</f>
        <v>-</v>
      </c>
      <c r="DA18" s="57" t="str">
        <f>IF($H18=リスト!$AA$4,"-",
 IF($C18="-","-",
  IF(CZ$4&gt;$P18,"-",
   CHOOSE(MATCH($H$3,リスト!$AE$3:$AE$5,0),
    ROUNDUP(
      CZ18*IF(CZ18*$I18&lt;=$L18,$J18,$I18)*
      IF($P18=1,
         $S18/12,
         IF(CZ$4=1,
            $T18/12,
            IF(CZ$4=$P18,
               $U18/12,
               1
      ))),0),
    ROUNDDOWN(
      CZ18*IF(CZ18*$I18&lt;=$L18,$J18,$I18)*
      IF($P18=1,
         $S18/12,
         IF(CZ$4=1,
            $T18/12,
            IF(CZ$4=$P18,
               $U18/12,
               1
      ))),0),
    ROUND(
      CZ18*IF(CZ18*$I18&lt;=$L18,$J18,$I18)*
      IF($P18=1,
         $S18/12,
         IF(CZ$4=1,
            $T18/12,
            IF(CZ$4=$P18,
               $U18/12,
               1
      ))),0)
))))</f>
        <v>-</v>
      </c>
      <c r="DB18" s="56" t="str">
        <f ca="1">IF($H18=リスト!$AA$4,"-",
   IF($C18="-","-",
     IF(DB$4&gt;$P18,"-",
       IF(DB$4=1,$E18,OFFSET(DB18,0,-2)-OFFSET(DB18,0,-1)
))))</f>
        <v>-</v>
      </c>
      <c r="DC18" s="57" t="str">
        <f>IF($H18=リスト!$AA$4,"-",
 IF($C18="-","-",
  IF(DB$4&gt;$P18,"-",
   CHOOSE(MATCH($H$3,リスト!$AE$3:$AE$5,0),
    ROUNDUP(
      DB18*IF(DB18*$I18&lt;=$L18,$J18,$I18)*
      IF($P18=1,
         $S18/12,
         IF(DB$4=1,
            $T18/12,
            IF(DB$4=$P18,
               $U18/12,
               1
      ))),0),
    ROUNDDOWN(
      DB18*IF(DB18*$I18&lt;=$L18,$J18,$I18)*
      IF($P18=1,
         $S18/12,
         IF(DB$4=1,
            $T18/12,
            IF(DB$4=$P18,
               $U18/12,
               1
      ))),0),
    ROUND(
      DB18*IF(DB18*$I18&lt;=$L18,$J18,$I18)*
      IF($P18=1,
         $S18/12,
         IF(DB$4=1,
            $T18/12,
            IF(DB$4=$P18,
               $U18/12,
               1
      ))),0)
))))</f>
        <v>-</v>
      </c>
      <c r="DD18" s="56" t="str">
        <f ca="1">IF($H18=リスト!$AA$4,"-",
   IF($C18="-","-",
     IF(DD$4&gt;$P18,"-",
       IF(DD$4=1,$E18,OFFSET(DD18,0,-2)-OFFSET(DD18,0,-1)
))))</f>
        <v>-</v>
      </c>
      <c r="DE18" s="57" t="str">
        <f>IF($H18=リスト!$AA$4,"-",
 IF($C18="-","-",
  IF(DD$4&gt;$P18,"-",
   CHOOSE(MATCH($H$3,リスト!$AE$3:$AE$5,0),
    ROUNDUP(
      DD18*IF(DD18*$I18&lt;=$L18,$J18,$I18)*
      IF($P18=1,
         $S18/12,
         IF(DD$4=1,
            $T18/12,
            IF(DD$4=$P18,
               $U18/12,
               1
      ))),0),
    ROUNDDOWN(
      DD18*IF(DD18*$I18&lt;=$L18,$J18,$I18)*
      IF($P18=1,
         $S18/12,
         IF(DD$4=1,
            $T18/12,
            IF(DD$4=$P18,
               $U18/12,
               1
      ))),0),
    ROUND(
      DD18*IF(DD18*$I18&lt;=$L18,$J18,$I18)*
      IF($P18=1,
         $S18/12,
         IF(DD$4=1,
            $T18/12,
            IF(DD$4=$P18,
               $U18/12,
               1
      ))),0)
))))</f>
        <v>-</v>
      </c>
      <c r="DF18" s="56" t="str">
        <f ca="1">IF($H18=リスト!$AA$4,"-",
   IF($C18="-","-",
     IF(DF$4&gt;$P18,"-",
       IF(DF$4=1,$E18,OFFSET(DF18,0,-2)-OFFSET(DF18,0,-1)
))))</f>
        <v>-</v>
      </c>
      <c r="DG18" s="57" t="str">
        <f>IF($H18=リスト!$AA$4,"-",
 IF($C18="-","-",
  IF(DF$4&gt;$P18,"-",
   CHOOSE(MATCH($H$3,リスト!$AE$3:$AE$5,0),
    ROUNDUP(
      DF18*IF(DF18*$I18&lt;=$L18,$J18,$I18)*
      IF($P18=1,
         $S18/12,
         IF(DF$4=1,
            $T18/12,
            IF(DF$4=$P18,
               $U18/12,
               1
      ))),0),
    ROUNDDOWN(
      DF18*IF(DF18*$I18&lt;=$L18,$J18,$I18)*
      IF($P18=1,
         $S18/12,
         IF(DF$4=1,
            $T18/12,
            IF(DF$4=$P18,
               $U18/12,
               1
      ))),0),
    ROUND(
      DF18*IF(DF18*$I18&lt;=$L18,$J18,$I18)*
      IF($P18=1,
         $S18/12,
         IF(DF$4=1,
            $T18/12,
            IF(DF$4=$P18,
               $U18/12,
               1
      ))),0)
))))</f>
        <v>-</v>
      </c>
      <c r="DH18" s="56" t="str">
        <f ca="1">IF($H18=リスト!$AA$4,"-",
   IF($C18="-","-",
     IF(DH$4&gt;$P18,"-",
       IF(DH$4=1,$E18,OFFSET(DH18,0,-2)-OFFSET(DH18,0,-1)
))))</f>
        <v>-</v>
      </c>
      <c r="DI18" s="57" t="str">
        <f>IF($H18=リスト!$AA$4,"-",
 IF($C18="-","-",
  IF(DH$4&gt;$P18,"-",
   CHOOSE(MATCH($H$3,リスト!$AE$3:$AE$5,0),
    ROUNDUP(
      DH18*IF(DH18*$I18&lt;=$L18,$J18,$I18)*
      IF($P18=1,
         $S18/12,
         IF(DH$4=1,
            $T18/12,
            IF(DH$4=$P18,
               $U18/12,
               1
      ))),0),
    ROUNDDOWN(
      DH18*IF(DH18*$I18&lt;=$L18,$J18,$I18)*
      IF($P18=1,
         $S18/12,
         IF(DH$4=1,
            $T18/12,
            IF(DH$4=$P18,
               $U18/12,
               1
      ))),0),
    ROUND(
      DH18*IF(DH18*$I18&lt;=$L18,$J18,$I18)*
      IF($P18=1,
         $S18/12,
         IF(DH$4=1,
            $T18/12,
            IF(DH$4=$P18,
               $U18/12,
               1
      ))),0)
))))</f>
        <v>-</v>
      </c>
      <c r="DJ18" s="56" t="str">
        <f ca="1">IF($H18=リスト!$AA$4,"-",
   IF($C18="-","-",
     IF(DJ$4&gt;$P18,"-",
       IF(DJ$4=1,$E18,OFFSET(DJ18,0,-2)-OFFSET(DJ18,0,-1)
))))</f>
        <v>-</v>
      </c>
      <c r="DK18" s="57" t="str">
        <f>IF($H18=リスト!$AA$4,"-",
 IF($C18="-","-",
  IF(DJ$4&gt;$P18,"-",
   CHOOSE(MATCH($H$3,リスト!$AE$3:$AE$5,0),
    ROUNDUP(
      DJ18*IF(DJ18*$I18&lt;=$L18,$J18,$I18)*
      IF($P18=1,
         $S18/12,
         IF(DJ$4=1,
            $T18/12,
            IF(DJ$4=$P18,
               $U18/12,
               1
      ))),0),
    ROUNDDOWN(
      DJ18*IF(DJ18*$I18&lt;=$L18,$J18,$I18)*
      IF($P18=1,
         $S18/12,
         IF(DJ$4=1,
            $T18/12,
            IF(DJ$4=$P18,
               $U18/12,
               1
      ))),0),
    ROUND(
      DJ18*IF(DJ18*$I18&lt;=$L18,$J18,$I18)*
      IF($P18=1,
         $S18/12,
         IF(DJ$4=1,
            $T18/12,
            IF(DJ$4=$P18,
               $U18/12,
               1
      ))),0)
))))</f>
        <v>-</v>
      </c>
      <c r="DL18" s="56" t="str">
        <f ca="1">IF($H18=リスト!$AA$4,"-",
   IF($C18="-","-",
     IF(DL$4&gt;$P18,"-",
       IF(DL$4=1,$E18,OFFSET(DL18,0,-2)-OFFSET(DL18,0,-1)
))))</f>
        <v>-</v>
      </c>
      <c r="DM18" s="57" t="str">
        <f>IF($H18=リスト!$AA$4,"-",
 IF($C18="-","-",
  IF(DL$4&gt;$P18,"-",
   CHOOSE(MATCH($H$3,リスト!$AE$3:$AE$5,0),
    ROUNDUP(
      DL18*IF(DL18*$I18&lt;=$L18,$J18,$I18)*
      IF($P18=1,
         $S18/12,
         IF(DL$4=1,
            $T18/12,
            IF(DL$4=$P18,
               $U18/12,
               1
      ))),0),
    ROUNDDOWN(
      DL18*IF(DL18*$I18&lt;=$L18,$J18,$I18)*
      IF($P18=1,
         $S18/12,
         IF(DL$4=1,
            $T18/12,
            IF(DL$4=$P18,
               $U18/12,
               1
      ))),0),
    ROUND(
      DL18*IF(DL18*$I18&lt;=$L18,$J18,$I18)*
      IF($P18=1,
         $S18/12,
         IF(DL$4=1,
            $T18/12,
            IF(DL$4=$P18,
               $U18/12,
               1
      ))),0)
))))</f>
        <v>-</v>
      </c>
      <c r="DN18" s="56" t="str">
        <f ca="1">IF($H18=リスト!$AA$4,"-",
   IF($C18="-","-",
     IF(DN$4&gt;$P18,"-",
       IF(DN$4=1,$E18,OFFSET(DN18,0,-2)-OFFSET(DN18,0,-1)
))))</f>
        <v>-</v>
      </c>
      <c r="DO18" s="57" t="str">
        <f>IF($H18=リスト!$AA$4,"-",
 IF($C18="-","-",
  IF(DN$4&gt;$P18,"-",
   CHOOSE(MATCH($H$3,リスト!$AE$3:$AE$5,0),
    ROUNDUP(
      DN18*IF(DN18*$I18&lt;=$L18,$J18,$I18)*
      IF($P18=1,
         $S18/12,
         IF(DN$4=1,
            $T18/12,
            IF(DN$4=$P18,
               $U18/12,
               1
      ))),0),
    ROUNDDOWN(
      DN18*IF(DN18*$I18&lt;=$L18,$J18,$I18)*
      IF($P18=1,
         $S18/12,
         IF(DN$4=1,
            $T18/12,
            IF(DN$4=$P18,
               $U18/12,
               1
      ))),0),
    ROUND(
      DN18*IF(DN18*$I18&lt;=$L18,$J18,$I18)*
      IF($P18=1,
         $S18/12,
         IF(DN$4=1,
            $T18/12,
            IF(DN$4=$P18,
               $U18/12,
               1
      ))),0)
))))</f>
        <v>-</v>
      </c>
      <c r="DP18" s="56" t="str">
        <f ca="1">IF($H18=リスト!$AA$4,"-",
   IF($C18="-","-",
     IF(DP$4&gt;$P18,"-",
       IF(DP$4=1,$E18,OFFSET(DP18,0,-2)-OFFSET(DP18,0,-1)
))))</f>
        <v>-</v>
      </c>
      <c r="DQ18" s="57" t="str">
        <f>IF($H18=リスト!$AA$4,"-",
 IF($C18="-","-",
  IF(DP$4&gt;$P18,"-",
   CHOOSE(MATCH($H$3,リスト!$AE$3:$AE$5,0),
    ROUNDUP(
      DP18*IF(DP18*$I18&lt;=$L18,$J18,$I18)*
      IF($P18=1,
         $S18/12,
         IF(DP$4=1,
            $T18/12,
            IF(DP$4=$P18,
               $U18/12,
               1
      ))),0),
    ROUNDDOWN(
      DP18*IF(DP18*$I18&lt;=$L18,$J18,$I18)*
      IF($P18=1,
         $S18/12,
         IF(DP$4=1,
            $T18/12,
            IF(DP$4=$P18,
               $U18/12,
               1
      ))),0),
    ROUND(
      DP18*IF(DP18*$I18&lt;=$L18,$J18,$I18)*
      IF($P18=1,
         $S18/12,
         IF(DP$4=1,
            $T18/12,
            IF(DP$4=$P18,
               $U18/12,
               1
      ))),0)
))))</f>
        <v>-</v>
      </c>
      <c r="DR18" s="56" t="str">
        <f ca="1">IF($H18=リスト!$AA$4,"-",
   IF($C18="-","-",
     IF(DR$4&gt;$P18,"-",
       IF(DR$4=1,$E18,OFFSET(DR18,0,-2)-OFFSET(DR18,0,-1)
))))</f>
        <v>-</v>
      </c>
      <c r="DS18" s="57" t="str">
        <f>IF($H18=リスト!$AA$4,"-",
 IF($C18="-","-",
  IF(DR$4&gt;$P18,"-",
   CHOOSE(MATCH($H$3,リスト!$AE$3:$AE$5,0),
    ROUNDUP(
      DR18*IF(DR18*$I18&lt;=$L18,$J18,$I18)*
      IF($P18=1,
         $S18/12,
         IF(DR$4=1,
            $T18/12,
            IF(DR$4=$P18,
               $U18/12,
               1
      ))),0),
    ROUNDDOWN(
      DR18*IF(DR18*$I18&lt;=$L18,$J18,$I18)*
      IF($P18=1,
         $S18/12,
         IF(DR$4=1,
            $T18/12,
            IF(DR$4=$P18,
               $U18/12,
               1
      ))),0),
    ROUND(
      DR18*IF(DR18*$I18&lt;=$L18,$J18,$I18)*
      IF($P18=1,
         $S18/12,
         IF(DR$4=1,
            $T18/12,
            IF(DR$4=$P18,
               $U18/12,
               1
      ))),0)
))))</f>
        <v>-</v>
      </c>
      <c r="DT18" s="56" t="str" cm="1">
        <f t="array" ref="DT18">IF($H18&lt;&gt;リスト!$AA$3,"-",$E18-SUMPRODUCT(IFERROR($Y18:$DS18*1,0), --(MOD(COLUMN($Y18:$DS18)-COLUMN($Y18),2)=0)))</f>
        <v>-</v>
      </c>
      <c r="DU18" s="56" t="str">
        <f>IF($H18&lt;&gt;リスト!$AA$4,"-",
    IF($H$3=リスト!$AE$3,$E18-ROUNDUP($E18*I18*$W18/12,0),
    IF($H$3=リスト!$AE$4,$E18-ROUNDDOWN($E18*I18*$W18/12,0),
    IF($H$3=リスト!$AE$5,$E18-ROUND($E18*I18*$W18/12,0),
    "-"))))</f>
        <v>-</v>
      </c>
    </row>
    <row r="19" spans="2:125">
      <c r="B19" s="54">
        <v>14</v>
      </c>
      <c r="C19" s="55" t="str">
        <f>IF(財産処分報告用!$C19="","-",財産処分報告用!$C19)</f>
        <v>-</v>
      </c>
      <c r="D19" s="55" t="str">
        <f>財産処分報告用!$E19</f>
        <v>-</v>
      </c>
      <c r="E19" s="56" t="str">
        <f>IF(財産処分報告用!$J19="","-",財産処分報告用!$J19)</f>
        <v>-</v>
      </c>
      <c r="F19" s="101" t="str">
        <f>IF(財産処分報告用!$K19="","-",財産処分報告用!$K19)</f>
        <v>-</v>
      </c>
      <c r="G19" s="101" t="str">
        <f>IF(財産処分報告用!$L19="","-",財産処分報告用!$L19)</f>
        <v>-</v>
      </c>
      <c r="H19" s="55" t="str">
        <f>IF(財産処分報告用!$M19="","-",財産処分報告用!$M19)</f>
        <v>-</v>
      </c>
      <c r="I19" s="55" t="str">
        <f>IF(OR($D19="-",$H19="-"),"-",INDEX(リスト!$AG$2:$AI$101,MATCH($D19,リスト!$AG$2:$AG$101,0),MATCH($H19,リスト!$AG$2:$AI$2,0)))</f>
        <v>-</v>
      </c>
      <c r="J19" s="55" t="str">
        <f>IF(OR($D19="-",$H19="-"),"-",IF($H19=リスト!$AA$4,"-",INDEX(リスト!$AG$2:$AK$101,MATCH($D19,リスト!$AG$2:$AG$101,0),4)))</f>
        <v>-</v>
      </c>
      <c r="K19" s="55" t="str">
        <f>IF(OR($D19="-",$H19="-"),"-",IF($H19=リスト!$AA$4,"-",INDEX(リスト!$AG$2:$AK$101,MATCH($D19,リスト!$AG$2:$AG$101,0),5)))</f>
        <v>-</v>
      </c>
      <c r="L19" s="55" t="str">
        <f t="shared" si="0"/>
        <v>-</v>
      </c>
      <c r="M19" s="101" t="str">
        <f t="shared" si="1"/>
        <v>-</v>
      </c>
      <c r="N19" s="101" t="str">
        <f t="shared" si="2"/>
        <v>-</v>
      </c>
      <c r="O19" s="101" t="str">
        <f t="shared" si="3"/>
        <v>-</v>
      </c>
      <c r="P19" s="102" t="str">
        <f t="shared" si="4"/>
        <v>-</v>
      </c>
      <c r="Q19" s="115" t="str">
        <f t="shared" si="5"/>
        <v>-</v>
      </c>
      <c r="R19" s="116" t="str">
        <f t="shared" si="6"/>
        <v>-</v>
      </c>
      <c r="S19" s="102" t="str">
        <f t="shared" si="7"/>
        <v>-</v>
      </c>
      <c r="T19" s="102" t="str">
        <f t="shared" si="8"/>
        <v>-</v>
      </c>
      <c r="U19" s="102" t="str">
        <f t="shared" si="9"/>
        <v>-</v>
      </c>
      <c r="V19" s="102" t="str">
        <f t="shared" si="10"/>
        <v>-</v>
      </c>
      <c r="W19" s="55" t="str">
        <f t="shared" si="11"/>
        <v>-</v>
      </c>
      <c r="X19" s="56" t="str">
        <f ca="1">IF($H19=リスト!$AA$4,"-",
   IF($C19="-","-",
     IF(X$4&gt;$P19,"-",
       IF(X$4=1,$E19,OFFSET(X19,0,-2)-OFFSET(X19,0,-1)
))))</f>
        <v>-</v>
      </c>
      <c r="Y19" s="57" t="str">
        <f>IF($H19=リスト!$AA$4,"-",
 IF($C19="-","-",
  IF(X$4&gt;$P19,"-",
   CHOOSE(MATCH($H$3,リスト!$AE$3:$AE$5,0),
    ROUNDUP(
      X19*IF(X19*$I19&lt;=$L19,$J19,$I19)*
      IF($P19=1,
         $S19/12,
         IF(X$4=1,
            $T19/12,
            IF(X$4=$P19,
               $U19/12,
               1
      ))),0),
    ROUNDDOWN(
      X19*IF(X19*$I19&lt;=$L19,$J19,$I19)*
      IF($P19=1,
         $S19/12,
         IF(X$4=1,
            $T19/12,
            IF(X$4=$P19,
               $U19/12,
               1
      ))),0),
    ROUND(
      X19*IF(X19*$I19&lt;=$L19,$J19,$I19)*
      IF($P19=1,
         $S19/12,
         IF(X$4=1,
            $T19/12,
            IF(X$4=$P19,
               $U19/12,
               1
      ))),0)
))))</f>
        <v>-</v>
      </c>
      <c r="Z19" s="56" t="str">
        <f ca="1">IF($H19=リスト!$AA$4,"-",
   IF($C19="-","-",
     IF(Z$4&gt;$P19,"-",
       IF(Z$4=1,$E19,OFFSET(Z19,0,-2)-OFFSET(Z19,0,-1)
))))</f>
        <v>-</v>
      </c>
      <c r="AA19" s="57" t="str">
        <f>IF($H19=リスト!$AA$4,"-",
 IF($C19="-","-",
  IF(Z$4&gt;$P19,"-",
   CHOOSE(MATCH($H$3,リスト!$AE$3:$AE$5,0),
    ROUNDUP(
      Z19*IF(Z19*$I19&lt;=$L19,$J19,$I19)*
      IF($P19=1,
         $S19/12,
         IF(Z$4=1,
            $T19/12,
            IF(Z$4=$P19,
               $U19/12,
               1
      ))),0),
    ROUNDDOWN(
      Z19*IF(Z19*$I19&lt;=$L19,$J19,$I19)*
      IF($P19=1,
         $S19/12,
         IF(Z$4=1,
            $T19/12,
            IF(Z$4=$P19,
               $U19/12,
               1
      ))),0),
    ROUND(
      Z19*IF(Z19*$I19&lt;=$L19,$J19,$I19)*
      IF($P19=1,
         $S19/12,
         IF(Z$4=1,
            $T19/12,
            IF(Z$4=$P19,
               $U19/12,
               1
      ))),0)
))))</f>
        <v>-</v>
      </c>
      <c r="AB19" s="56" t="str">
        <f ca="1">IF($H19=リスト!$AA$4,"-",
   IF($C19="-","-",
     IF(AB$4&gt;$P19,"-",
       IF(AB$4=1,$E19,OFFSET(AB19,0,-2)-OFFSET(AB19,0,-1)
))))</f>
        <v>-</v>
      </c>
      <c r="AC19" s="57" t="str">
        <f>IF($H19=リスト!$AA$4,"-",
 IF($C19="-","-",
  IF(AB$4&gt;$P19,"-",
   CHOOSE(MATCH($H$3,リスト!$AE$3:$AE$5,0),
    ROUNDUP(
      AB19*IF(AB19*$I19&lt;=$L19,$J19,$I19)*
      IF($P19=1,
         $S19/12,
         IF(AB$4=1,
            $T19/12,
            IF(AB$4=$P19,
               $U19/12,
               1
      ))),0),
    ROUNDDOWN(
      AB19*IF(AB19*$I19&lt;=$L19,$J19,$I19)*
      IF($P19=1,
         $S19/12,
         IF(AB$4=1,
            $T19/12,
            IF(AB$4=$P19,
               $U19/12,
               1
      ))),0),
    ROUND(
      AB19*IF(AB19*$I19&lt;=$L19,$J19,$I19)*
      IF($P19=1,
         $S19/12,
         IF(AB$4=1,
            $T19/12,
            IF(AB$4=$P19,
               $U19/12,
               1
      ))),0)
))))</f>
        <v>-</v>
      </c>
      <c r="AD19" s="56" t="str">
        <f ca="1">IF($H19=リスト!$AA$4,"-",
   IF($C19="-","-",
     IF(AD$4&gt;$P19,"-",
       IF(AD$4=1,$E19,OFFSET(AD19,0,-2)-OFFSET(AD19,0,-1)
))))</f>
        <v>-</v>
      </c>
      <c r="AE19" s="57" t="str">
        <f>IF($H19=リスト!$AA$4,"-",
 IF($C19="-","-",
  IF(AD$4&gt;$P19,"-",
   CHOOSE(MATCH($H$3,リスト!$AE$3:$AE$5,0),
    ROUNDUP(
      AD19*IF(AD19*$I19&lt;=$L19,$J19,$I19)*
      IF($P19=1,
         $S19/12,
         IF(AD$4=1,
            $T19/12,
            IF(AD$4=$P19,
               $U19/12,
               1
      ))),0),
    ROUNDDOWN(
      AD19*IF(AD19*$I19&lt;=$L19,$J19,$I19)*
      IF($P19=1,
         $S19/12,
         IF(AD$4=1,
            $T19/12,
            IF(AD$4=$P19,
               $U19/12,
               1
      ))),0),
    ROUND(
      AD19*IF(AD19*$I19&lt;=$L19,$J19,$I19)*
      IF($P19=1,
         $S19/12,
         IF(AD$4=1,
            $T19/12,
            IF(AD$4=$P19,
               $U19/12,
               1
      ))),0)
))))</f>
        <v>-</v>
      </c>
      <c r="AF19" s="56" t="str">
        <f ca="1">IF($H19=リスト!$AA$4,"-",
   IF($C19="-","-",
     IF(AF$4&gt;$P19,"-",
       IF(AF$4=1,$E19,OFFSET(AF19,0,-2)-OFFSET(AF19,0,-1)
))))</f>
        <v>-</v>
      </c>
      <c r="AG19" s="57" t="str">
        <f>IF($H19=リスト!$AA$4,"-",
 IF($C19="-","-",
  IF(AF$4&gt;$P19,"-",
   CHOOSE(MATCH($H$3,リスト!$AE$3:$AE$5,0),
    ROUNDUP(
      AF19*IF(AF19*$I19&lt;=$L19,$J19,$I19)*
      IF($P19=1,
         $S19/12,
         IF(AF$4=1,
            $T19/12,
            IF(AF$4=$P19,
               $U19/12,
               1
      ))),0),
    ROUNDDOWN(
      AF19*IF(AF19*$I19&lt;=$L19,$J19,$I19)*
      IF($P19=1,
         $S19/12,
         IF(AF$4=1,
            $T19/12,
            IF(AF$4=$P19,
               $U19/12,
               1
      ))),0),
    ROUND(
      AF19*IF(AF19*$I19&lt;=$L19,$J19,$I19)*
      IF($P19=1,
         $S19/12,
         IF(AF$4=1,
            $T19/12,
            IF(AF$4=$P19,
               $U19/12,
               1
      ))),0)
))))</f>
        <v>-</v>
      </c>
      <c r="AH19" s="56" t="str">
        <f ca="1">IF($H19=リスト!$AA$4,"-",
   IF($C19="-","-",
     IF(AH$4&gt;$P19,"-",
       IF(AH$4=1,$E19,OFFSET(AH19,0,-2)-OFFSET(AH19,0,-1)
))))</f>
        <v>-</v>
      </c>
      <c r="AI19" s="57" t="str">
        <f>IF($H19=リスト!$AA$4,"-",
 IF($C19="-","-",
  IF(AH$4&gt;$P19,"-",
   CHOOSE(MATCH($H$3,リスト!$AE$3:$AE$5,0),
    ROUNDUP(
      AH19*IF(AH19*$I19&lt;=$L19,$J19,$I19)*
      IF($P19=1,
         $S19/12,
         IF(AH$4=1,
            $T19/12,
            IF(AH$4=$P19,
               $U19/12,
               1
      ))),0),
    ROUNDDOWN(
      AH19*IF(AH19*$I19&lt;=$L19,$J19,$I19)*
      IF($P19=1,
         $S19/12,
         IF(AH$4=1,
            $T19/12,
            IF(AH$4=$P19,
               $U19/12,
               1
      ))),0),
    ROUND(
      AH19*IF(AH19*$I19&lt;=$L19,$J19,$I19)*
      IF($P19=1,
         $S19/12,
         IF(AH$4=1,
            $T19/12,
            IF(AH$4=$P19,
               $U19/12,
               1
      ))),0)
))))</f>
        <v>-</v>
      </c>
      <c r="AJ19" s="56" t="str">
        <f ca="1">IF($H19=リスト!$AA$4,"-",
   IF($C19="-","-",
     IF(AJ$4&gt;$P19,"-",
       IF(AJ$4=1,$E19,OFFSET(AJ19,0,-2)-OFFSET(AJ19,0,-1)
))))</f>
        <v>-</v>
      </c>
      <c r="AK19" s="57" t="str">
        <f>IF($H19=リスト!$AA$4,"-",
 IF($C19="-","-",
  IF(AJ$4&gt;$P19,"-",
   CHOOSE(MATCH($H$3,リスト!$AE$3:$AE$5,0),
    ROUNDUP(
      AJ19*IF(AJ19*$I19&lt;=$L19,$J19,$I19)*
      IF($P19=1,
         $S19/12,
         IF(AJ$4=1,
            $T19/12,
            IF(AJ$4=$P19,
               $U19/12,
               1
      ))),0),
    ROUNDDOWN(
      AJ19*IF(AJ19*$I19&lt;=$L19,$J19,$I19)*
      IF($P19=1,
         $S19/12,
         IF(AJ$4=1,
            $T19/12,
            IF(AJ$4=$P19,
               $U19/12,
               1
      ))),0),
    ROUND(
      AJ19*IF(AJ19*$I19&lt;=$L19,$J19,$I19)*
      IF($P19=1,
         $S19/12,
         IF(AJ$4=1,
            $T19/12,
            IF(AJ$4=$P19,
               $U19/12,
               1
      ))),0)
))))</f>
        <v>-</v>
      </c>
      <c r="AL19" s="56" t="str">
        <f ca="1">IF($H19=リスト!$AA$4,"-",
   IF($C19="-","-",
     IF(AL$4&gt;$P19,"-",
       IF(AL$4=1,$E19,OFFSET(AL19,0,-2)-OFFSET(AL19,0,-1)
))))</f>
        <v>-</v>
      </c>
      <c r="AM19" s="57" t="str">
        <f>IF($H19=リスト!$AA$4,"-",
 IF($C19="-","-",
  IF(AL$4&gt;$P19,"-",
   CHOOSE(MATCH($H$3,リスト!$AE$3:$AE$5,0),
    ROUNDUP(
      AL19*IF(AL19*$I19&lt;=$L19,$J19,$I19)*
      IF($P19=1,
         $S19/12,
         IF(AL$4=1,
            $T19/12,
            IF(AL$4=$P19,
               $U19/12,
               1
      ))),0),
    ROUNDDOWN(
      AL19*IF(AL19*$I19&lt;=$L19,$J19,$I19)*
      IF($P19=1,
         $S19/12,
         IF(AL$4=1,
            $T19/12,
            IF(AL$4=$P19,
               $U19/12,
               1
      ))),0),
    ROUND(
      AL19*IF(AL19*$I19&lt;=$L19,$J19,$I19)*
      IF($P19=1,
         $S19/12,
         IF(AL$4=1,
            $T19/12,
            IF(AL$4=$P19,
               $U19/12,
               1
      ))),0)
))))</f>
        <v>-</v>
      </c>
      <c r="AN19" s="56" t="str">
        <f ca="1">IF($H19=リスト!$AA$4,"-",
   IF($C19="-","-",
     IF(AN$4&gt;$P19,"-",
       IF(AN$4=1,$E19,OFFSET(AN19,0,-2)-OFFSET(AN19,0,-1)
))))</f>
        <v>-</v>
      </c>
      <c r="AO19" s="57" t="str">
        <f>IF($H19=リスト!$AA$4,"-",
 IF($C19="-","-",
  IF(AN$4&gt;$P19,"-",
   CHOOSE(MATCH($H$3,リスト!$AE$3:$AE$5,0),
    ROUNDUP(
      AN19*IF(AN19*$I19&lt;=$L19,$J19,$I19)*
      IF($P19=1,
         $S19/12,
         IF(AN$4=1,
            $T19/12,
            IF(AN$4=$P19,
               $U19/12,
               1
      ))),0),
    ROUNDDOWN(
      AN19*IF(AN19*$I19&lt;=$L19,$J19,$I19)*
      IF($P19=1,
         $S19/12,
         IF(AN$4=1,
            $T19/12,
            IF(AN$4=$P19,
               $U19/12,
               1
      ))),0),
    ROUND(
      AN19*IF(AN19*$I19&lt;=$L19,$J19,$I19)*
      IF($P19=1,
         $S19/12,
         IF(AN$4=1,
            $T19/12,
            IF(AN$4=$P19,
               $U19/12,
               1
      ))),0)
))))</f>
        <v>-</v>
      </c>
      <c r="AP19" s="56" t="str">
        <f ca="1">IF($H19=リスト!$AA$4,"-",
   IF($C19="-","-",
     IF(AP$4&gt;$P19,"-",
       IF(AP$4=1,$E19,OFFSET(AP19,0,-2)-OFFSET(AP19,0,-1)
))))</f>
        <v>-</v>
      </c>
      <c r="AQ19" s="57" t="str">
        <f>IF($H19=リスト!$AA$4,"-",
 IF($C19="-","-",
  IF(AP$4&gt;$P19,"-",
   CHOOSE(MATCH($H$3,リスト!$AE$3:$AE$5,0),
    ROUNDUP(
      AP19*IF(AP19*$I19&lt;=$L19,$J19,$I19)*
      IF($P19=1,
         $S19/12,
         IF(AP$4=1,
            $T19/12,
            IF(AP$4=$P19,
               $U19/12,
               1
      ))),0),
    ROUNDDOWN(
      AP19*IF(AP19*$I19&lt;=$L19,$J19,$I19)*
      IF($P19=1,
         $S19/12,
         IF(AP$4=1,
            $T19/12,
            IF(AP$4=$P19,
               $U19/12,
               1
      ))),0),
    ROUND(
      AP19*IF(AP19*$I19&lt;=$L19,$J19,$I19)*
      IF($P19=1,
         $S19/12,
         IF(AP$4=1,
            $T19/12,
            IF(AP$4=$P19,
               $U19/12,
               1
      ))),0)
))))</f>
        <v>-</v>
      </c>
      <c r="AR19" s="56" t="str">
        <f ca="1">IF($H19=リスト!$AA$4,"-",
   IF($C19="-","-",
     IF(AR$4&gt;$P19,"-",
       IF(AR$4=1,$E19,OFFSET(AR19,0,-2)-OFFSET(AR19,0,-1)
))))</f>
        <v>-</v>
      </c>
      <c r="AS19" s="57" t="str">
        <f>IF($H19=リスト!$AA$4,"-",
 IF($C19="-","-",
  IF(AR$4&gt;$P19,"-",
   CHOOSE(MATCH($H$3,リスト!$AE$3:$AE$5,0),
    ROUNDUP(
      AR19*IF(AR19*$I19&lt;=$L19,$J19,$I19)*
      IF($P19=1,
         $S19/12,
         IF(AR$4=1,
            $T19/12,
            IF(AR$4=$P19,
               $U19/12,
               1
      ))),0),
    ROUNDDOWN(
      AR19*IF(AR19*$I19&lt;=$L19,$J19,$I19)*
      IF($P19=1,
         $S19/12,
         IF(AR$4=1,
            $T19/12,
            IF(AR$4=$P19,
               $U19/12,
               1
      ))),0),
    ROUND(
      AR19*IF(AR19*$I19&lt;=$L19,$J19,$I19)*
      IF($P19=1,
         $S19/12,
         IF(AR$4=1,
            $T19/12,
            IF(AR$4=$P19,
               $U19/12,
               1
      ))),0)
))))</f>
        <v>-</v>
      </c>
      <c r="AT19" s="56" t="str">
        <f ca="1">IF($H19=リスト!$AA$4,"-",
   IF($C19="-","-",
     IF(AT$4&gt;$P19,"-",
       IF(AT$4=1,$E19,OFFSET(AT19,0,-2)-OFFSET(AT19,0,-1)
))))</f>
        <v>-</v>
      </c>
      <c r="AU19" s="57" t="str">
        <f>IF($H19=リスト!$AA$4,"-",
 IF($C19="-","-",
  IF(AT$4&gt;$P19,"-",
   CHOOSE(MATCH($H$3,リスト!$AE$3:$AE$5,0),
    ROUNDUP(
      AT19*IF(AT19*$I19&lt;=$L19,$J19,$I19)*
      IF($P19=1,
         $S19/12,
         IF(AT$4=1,
            $T19/12,
            IF(AT$4=$P19,
               $U19/12,
               1
      ))),0),
    ROUNDDOWN(
      AT19*IF(AT19*$I19&lt;=$L19,$J19,$I19)*
      IF($P19=1,
         $S19/12,
         IF(AT$4=1,
            $T19/12,
            IF(AT$4=$P19,
               $U19/12,
               1
      ))),0),
    ROUND(
      AT19*IF(AT19*$I19&lt;=$L19,$J19,$I19)*
      IF($P19=1,
         $S19/12,
         IF(AT$4=1,
            $T19/12,
            IF(AT$4=$P19,
               $U19/12,
               1
      ))),0)
))))</f>
        <v>-</v>
      </c>
      <c r="AV19" s="56" t="str">
        <f ca="1">IF($H19=リスト!$AA$4,"-",
   IF($C19="-","-",
     IF(AV$4&gt;$P19,"-",
       IF(AV$4=1,$E19,OFFSET(AV19,0,-2)-OFFSET(AV19,0,-1)
))))</f>
        <v>-</v>
      </c>
      <c r="AW19" s="57" t="str">
        <f>IF($H19=リスト!$AA$4,"-",
 IF($C19="-","-",
  IF(AV$4&gt;$P19,"-",
   CHOOSE(MATCH($H$3,リスト!$AE$3:$AE$5,0),
    ROUNDUP(
      AV19*IF(AV19*$I19&lt;=$L19,$J19,$I19)*
      IF($P19=1,
         $S19/12,
         IF(AV$4=1,
            $T19/12,
            IF(AV$4=$P19,
               $U19/12,
               1
      ))),0),
    ROUNDDOWN(
      AV19*IF(AV19*$I19&lt;=$L19,$J19,$I19)*
      IF($P19=1,
         $S19/12,
         IF(AV$4=1,
            $T19/12,
            IF(AV$4=$P19,
               $U19/12,
               1
      ))),0),
    ROUND(
      AV19*IF(AV19*$I19&lt;=$L19,$J19,$I19)*
      IF($P19=1,
         $S19/12,
         IF(AV$4=1,
            $T19/12,
            IF(AV$4=$P19,
               $U19/12,
               1
      ))),0)
))))</f>
        <v>-</v>
      </c>
      <c r="AX19" s="56" t="str">
        <f ca="1">IF($H19=リスト!$AA$4,"-",
   IF($C19="-","-",
     IF(AX$4&gt;$P19,"-",
       IF(AX$4=1,$E19,OFFSET(AX19,0,-2)-OFFSET(AX19,0,-1)
))))</f>
        <v>-</v>
      </c>
      <c r="AY19" s="57" t="str">
        <f>IF($H19=リスト!$AA$4,"-",
 IF($C19="-","-",
  IF(AX$4&gt;$P19,"-",
   CHOOSE(MATCH($H$3,リスト!$AE$3:$AE$5,0),
    ROUNDUP(
      AX19*IF(AX19*$I19&lt;=$L19,$J19,$I19)*
      IF($P19=1,
         $S19/12,
         IF(AX$4=1,
            $T19/12,
            IF(AX$4=$P19,
               $U19/12,
               1
      ))),0),
    ROUNDDOWN(
      AX19*IF(AX19*$I19&lt;=$L19,$J19,$I19)*
      IF($P19=1,
         $S19/12,
         IF(AX$4=1,
            $T19/12,
            IF(AX$4=$P19,
               $U19/12,
               1
      ))),0),
    ROUND(
      AX19*IF(AX19*$I19&lt;=$L19,$J19,$I19)*
      IF($P19=1,
         $S19/12,
         IF(AX$4=1,
            $T19/12,
            IF(AX$4=$P19,
               $U19/12,
               1
      ))),0)
))))</f>
        <v>-</v>
      </c>
      <c r="AZ19" s="56" t="str">
        <f ca="1">IF($H19=リスト!$AA$4,"-",
   IF($C19="-","-",
     IF(AZ$4&gt;$P19,"-",
       IF(AZ$4=1,$E19,OFFSET(AZ19,0,-2)-OFFSET(AZ19,0,-1)
))))</f>
        <v>-</v>
      </c>
      <c r="BA19" s="57" t="str">
        <f>IF($H19=リスト!$AA$4,"-",
 IF($C19="-","-",
  IF(AZ$4&gt;$P19,"-",
   CHOOSE(MATCH($H$3,リスト!$AE$3:$AE$5,0),
    ROUNDUP(
      AZ19*IF(AZ19*$I19&lt;=$L19,$J19,$I19)*
      IF($P19=1,
         $S19/12,
         IF(AZ$4=1,
            $T19/12,
            IF(AZ$4=$P19,
               $U19/12,
               1
      ))),0),
    ROUNDDOWN(
      AZ19*IF(AZ19*$I19&lt;=$L19,$J19,$I19)*
      IF($P19=1,
         $S19/12,
         IF(AZ$4=1,
            $T19/12,
            IF(AZ$4=$P19,
               $U19/12,
               1
      ))),0),
    ROUND(
      AZ19*IF(AZ19*$I19&lt;=$L19,$J19,$I19)*
      IF($P19=1,
         $S19/12,
         IF(AZ$4=1,
            $T19/12,
            IF(AZ$4=$P19,
               $U19/12,
               1
      ))),0)
))))</f>
        <v>-</v>
      </c>
      <c r="BB19" s="56" t="str">
        <f ca="1">IF($H19=リスト!$AA$4,"-",
   IF($C19="-","-",
     IF(BB$4&gt;$P19,"-",
       IF(BB$4=1,$E19,OFFSET(BB19,0,-2)-OFFSET(BB19,0,-1)
))))</f>
        <v>-</v>
      </c>
      <c r="BC19" s="57" t="str">
        <f>IF($H19=リスト!$AA$4,"-",
 IF($C19="-","-",
  IF(BB$4&gt;$P19,"-",
   CHOOSE(MATCH($H$3,リスト!$AE$3:$AE$5,0),
    ROUNDUP(
      BB19*IF(BB19*$I19&lt;=$L19,$J19,$I19)*
      IF($P19=1,
         $S19/12,
         IF(BB$4=1,
            $T19/12,
            IF(BB$4=$P19,
               $U19/12,
               1
      ))),0),
    ROUNDDOWN(
      BB19*IF(BB19*$I19&lt;=$L19,$J19,$I19)*
      IF($P19=1,
         $S19/12,
         IF(BB$4=1,
            $T19/12,
            IF(BB$4=$P19,
               $U19/12,
               1
      ))),0),
    ROUND(
      BB19*IF(BB19*$I19&lt;=$L19,$J19,$I19)*
      IF($P19=1,
         $S19/12,
         IF(BB$4=1,
            $T19/12,
            IF(BB$4=$P19,
               $U19/12,
               1
      ))),0)
))))</f>
        <v>-</v>
      </c>
      <c r="BD19" s="56" t="str">
        <f ca="1">IF($H19=リスト!$AA$4,"-",
   IF($C19="-","-",
     IF(BD$4&gt;$P19,"-",
       IF(BD$4=1,$E19,OFFSET(BD19,0,-2)-OFFSET(BD19,0,-1)
))))</f>
        <v>-</v>
      </c>
      <c r="BE19" s="57" t="str">
        <f>IF($H19=リスト!$AA$4,"-",
 IF($C19="-","-",
  IF(BD$4&gt;$P19,"-",
   CHOOSE(MATCH($H$3,リスト!$AE$3:$AE$5,0),
    ROUNDUP(
      BD19*IF(BD19*$I19&lt;=$L19,$J19,$I19)*
      IF($P19=1,
         $S19/12,
         IF(BD$4=1,
            $T19/12,
            IF(BD$4=$P19,
               $U19/12,
               1
      ))),0),
    ROUNDDOWN(
      BD19*IF(BD19*$I19&lt;=$L19,$J19,$I19)*
      IF($P19=1,
         $S19/12,
         IF(BD$4=1,
            $T19/12,
            IF(BD$4=$P19,
               $U19/12,
               1
      ))),0),
    ROUND(
      BD19*IF(BD19*$I19&lt;=$L19,$J19,$I19)*
      IF($P19=1,
         $S19/12,
         IF(BD$4=1,
            $T19/12,
            IF(BD$4=$P19,
               $U19/12,
               1
      ))),0)
))))</f>
        <v>-</v>
      </c>
      <c r="BF19" s="56" t="str">
        <f ca="1">IF($H19=リスト!$AA$4,"-",
   IF($C19="-","-",
     IF(BF$4&gt;$P19,"-",
       IF(BF$4=1,$E19,OFFSET(BF19,0,-2)-OFFSET(BF19,0,-1)
))))</f>
        <v>-</v>
      </c>
      <c r="BG19" s="57" t="str">
        <f>IF($H19=リスト!$AA$4,"-",
 IF($C19="-","-",
  IF(BF$4&gt;$P19,"-",
   CHOOSE(MATCH($H$3,リスト!$AE$3:$AE$5,0),
    ROUNDUP(
      BF19*IF(BF19*$I19&lt;=$L19,$J19,$I19)*
      IF($P19=1,
         $S19/12,
         IF(BF$4=1,
            $T19/12,
            IF(BF$4=$P19,
               $U19/12,
               1
      ))),0),
    ROUNDDOWN(
      BF19*IF(BF19*$I19&lt;=$L19,$J19,$I19)*
      IF($P19=1,
         $S19/12,
         IF(BF$4=1,
            $T19/12,
            IF(BF$4=$P19,
               $U19/12,
               1
      ))),0),
    ROUND(
      BF19*IF(BF19*$I19&lt;=$L19,$J19,$I19)*
      IF($P19=1,
         $S19/12,
         IF(BF$4=1,
            $T19/12,
            IF(BF$4=$P19,
               $U19/12,
               1
      ))),0)
))))</f>
        <v>-</v>
      </c>
      <c r="BH19" s="56" t="str">
        <f ca="1">IF($H19=リスト!$AA$4,"-",
   IF($C19="-","-",
     IF(BH$4&gt;$P19,"-",
       IF(BH$4=1,$E19,OFFSET(BH19,0,-2)-OFFSET(BH19,0,-1)
))))</f>
        <v>-</v>
      </c>
      <c r="BI19" s="57" t="str">
        <f>IF($H19=リスト!$AA$4,"-",
 IF($C19="-","-",
  IF(BH$4&gt;$P19,"-",
   CHOOSE(MATCH($H$3,リスト!$AE$3:$AE$5,0),
    ROUNDUP(
      BH19*IF(BH19*$I19&lt;=$L19,$J19,$I19)*
      IF($P19=1,
         $S19/12,
         IF(BH$4=1,
            $T19/12,
            IF(BH$4=$P19,
               $U19/12,
               1
      ))),0),
    ROUNDDOWN(
      BH19*IF(BH19*$I19&lt;=$L19,$J19,$I19)*
      IF($P19=1,
         $S19/12,
         IF(BH$4=1,
            $T19/12,
            IF(BH$4=$P19,
               $U19/12,
               1
      ))),0),
    ROUND(
      BH19*IF(BH19*$I19&lt;=$L19,$J19,$I19)*
      IF($P19=1,
         $S19/12,
         IF(BH$4=1,
            $T19/12,
            IF(BH$4=$P19,
               $U19/12,
               1
      ))),0)
))))</f>
        <v>-</v>
      </c>
      <c r="BJ19" s="56" t="str">
        <f ca="1">IF($H19=リスト!$AA$4,"-",
   IF($C19="-","-",
     IF(BJ$4&gt;$P19,"-",
       IF(BJ$4=1,$E19,OFFSET(BJ19,0,-2)-OFFSET(BJ19,0,-1)
))))</f>
        <v>-</v>
      </c>
      <c r="BK19" s="57" t="str">
        <f>IF($H19=リスト!$AA$4,"-",
 IF($C19="-","-",
  IF(BJ$4&gt;$P19,"-",
   CHOOSE(MATCH($H$3,リスト!$AE$3:$AE$5,0),
    ROUNDUP(
      BJ19*IF(BJ19*$I19&lt;=$L19,$J19,$I19)*
      IF($P19=1,
         $S19/12,
         IF(BJ$4=1,
            $T19/12,
            IF(BJ$4=$P19,
               $U19/12,
               1
      ))),0),
    ROUNDDOWN(
      BJ19*IF(BJ19*$I19&lt;=$L19,$J19,$I19)*
      IF($P19=1,
         $S19/12,
         IF(BJ$4=1,
            $T19/12,
            IF(BJ$4=$P19,
               $U19/12,
               1
      ))),0),
    ROUND(
      BJ19*IF(BJ19*$I19&lt;=$L19,$J19,$I19)*
      IF($P19=1,
         $S19/12,
         IF(BJ$4=1,
            $T19/12,
            IF(BJ$4=$P19,
               $U19/12,
               1
      ))),0)
))))</f>
        <v>-</v>
      </c>
      <c r="BL19" s="56" t="str">
        <f ca="1">IF($H19=リスト!$AA$4,"-",
   IF($C19="-","-",
     IF(BL$4&gt;$P19,"-",
       IF(BL$4=1,$E19,OFFSET(BL19,0,-2)-OFFSET(BL19,0,-1)
))))</f>
        <v>-</v>
      </c>
      <c r="BM19" s="57" t="str">
        <f>IF($H19=リスト!$AA$4,"-",
 IF($C19="-","-",
  IF(BL$4&gt;$P19,"-",
   CHOOSE(MATCH($H$3,リスト!$AE$3:$AE$5,0),
    ROUNDUP(
      BL19*IF(BL19*$I19&lt;=$L19,$J19,$I19)*
      IF($P19=1,
         $S19/12,
         IF(BL$4=1,
            $T19/12,
            IF(BL$4=$P19,
               $U19/12,
               1
      ))),0),
    ROUNDDOWN(
      BL19*IF(BL19*$I19&lt;=$L19,$J19,$I19)*
      IF($P19=1,
         $S19/12,
         IF(BL$4=1,
            $T19/12,
            IF(BL$4=$P19,
               $U19/12,
               1
      ))),0),
    ROUND(
      BL19*IF(BL19*$I19&lt;=$L19,$J19,$I19)*
      IF($P19=1,
         $S19/12,
         IF(BL$4=1,
            $T19/12,
            IF(BL$4=$P19,
               $U19/12,
               1
      ))),0)
))))</f>
        <v>-</v>
      </c>
      <c r="BN19" s="56" t="str">
        <f ca="1">IF($H19=リスト!$AA$4,"-",
   IF($C19="-","-",
     IF(BN$4&gt;$P19,"-",
       IF(BN$4=1,$E19,OFFSET(BN19,0,-2)-OFFSET(BN19,0,-1)
))))</f>
        <v>-</v>
      </c>
      <c r="BO19" s="57" t="str">
        <f>IF($H19=リスト!$AA$4,"-",
 IF($C19="-","-",
  IF(BN$4&gt;$P19,"-",
   CHOOSE(MATCH($H$3,リスト!$AE$3:$AE$5,0),
    ROUNDUP(
      BN19*IF(BN19*$I19&lt;=$L19,$J19,$I19)*
      IF($P19=1,
         $S19/12,
         IF(BN$4=1,
            $T19/12,
            IF(BN$4=$P19,
               $U19/12,
               1
      ))),0),
    ROUNDDOWN(
      BN19*IF(BN19*$I19&lt;=$L19,$J19,$I19)*
      IF($P19=1,
         $S19/12,
         IF(BN$4=1,
            $T19/12,
            IF(BN$4=$P19,
               $U19/12,
               1
      ))),0),
    ROUND(
      BN19*IF(BN19*$I19&lt;=$L19,$J19,$I19)*
      IF($P19=1,
         $S19/12,
         IF(BN$4=1,
            $T19/12,
            IF(BN$4=$P19,
               $U19/12,
               1
      ))),0)
))))</f>
        <v>-</v>
      </c>
      <c r="BP19" s="56" t="str">
        <f ca="1">IF($H19=リスト!$AA$4,"-",
   IF($C19="-","-",
     IF(BP$4&gt;$P19,"-",
       IF(BP$4=1,$E19,OFFSET(BP19,0,-2)-OFFSET(BP19,0,-1)
))))</f>
        <v>-</v>
      </c>
      <c r="BQ19" s="57" t="str">
        <f>IF($H19=リスト!$AA$4,"-",
 IF($C19="-","-",
  IF(BP$4&gt;$P19,"-",
   CHOOSE(MATCH($H$3,リスト!$AE$3:$AE$5,0),
    ROUNDUP(
      BP19*IF(BP19*$I19&lt;=$L19,$J19,$I19)*
      IF($P19=1,
         $S19/12,
         IF(BP$4=1,
            $T19/12,
            IF(BP$4=$P19,
               $U19/12,
               1
      ))),0),
    ROUNDDOWN(
      BP19*IF(BP19*$I19&lt;=$L19,$J19,$I19)*
      IF($P19=1,
         $S19/12,
         IF(BP$4=1,
            $T19/12,
            IF(BP$4=$P19,
               $U19/12,
               1
      ))),0),
    ROUND(
      BP19*IF(BP19*$I19&lt;=$L19,$J19,$I19)*
      IF($P19=1,
         $S19/12,
         IF(BP$4=1,
            $T19/12,
            IF(BP$4=$P19,
               $U19/12,
               1
      ))),0)
))))</f>
        <v>-</v>
      </c>
      <c r="BR19" s="56" t="str">
        <f ca="1">IF($H19=リスト!$AA$4,"-",
   IF($C19="-","-",
     IF(BR$4&gt;$P19,"-",
       IF(BR$4=1,$E19,OFFSET(BR19,0,-2)-OFFSET(BR19,0,-1)
))))</f>
        <v>-</v>
      </c>
      <c r="BS19" s="57" t="str">
        <f>IF($H19=リスト!$AA$4,"-",
 IF($C19="-","-",
  IF(BR$4&gt;$P19,"-",
   CHOOSE(MATCH($H$3,リスト!$AE$3:$AE$5,0),
    ROUNDUP(
      BR19*IF(BR19*$I19&lt;=$L19,$J19,$I19)*
      IF($P19=1,
         $S19/12,
         IF(BR$4=1,
            $T19/12,
            IF(BR$4=$P19,
               $U19/12,
               1
      ))),0),
    ROUNDDOWN(
      BR19*IF(BR19*$I19&lt;=$L19,$J19,$I19)*
      IF($P19=1,
         $S19/12,
         IF(BR$4=1,
            $T19/12,
            IF(BR$4=$P19,
               $U19/12,
               1
      ))),0),
    ROUND(
      BR19*IF(BR19*$I19&lt;=$L19,$J19,$I19)*
      IF($P19=1,
         $S19/12,
         IF(BR$4=1,
            $T19/12,
            IF(BR$4=$P19,
               $U19/12,
               1
      ))),0)
))))</f>
        <v>-</v>
      </c>
      <c r="BT19" s="56" t="str">
        <f ca="1">IF($H19=リスト!$AA$4,"-",
   IF($C19="-","-",
     IF(BT$4&gt;$P19,"-",
       IF(BT$4=1,$E19,OFFSET(BT19,0,-2)-OFFSET(BT19,0,-1)
))))</f>
        <v>-</v>
      </c>
      <c r="BU19" s="57" t="str">
        <f>IF($H19=リスト!$AA$4,"-",
 IF($C19="-","-",
  IF(BT$4&gt;$P19,"-",
   CHOOSE(MATCH($H$3,リスト!$AE$3:$AE$5,0),
    ROUNDUP(
      BT19*IF(BT19*$I19&lt;=$L19,$J19,$I19)*
      IF($P19=1,
         $S19/12,
         IF(BT$4=1,
            $T19/12,
            IF(BT$4=$P19,
               $U19/12,
               1
      ))),0),
    ROUNDDOWN(
      BT19*IF(BT19*$I19&lt;=$L19,$J19,$I19)*
      IF($P19=1,
         $S19/12,
         IF(BT$4=1,
            $T19/12,
            IF(BT$4=$P19,
               $U19/12,
               1
      ))),0),
    ROUND(
      BT19*IF(BT19*$I19&lt;=$L19,$J19,$I19)*
      IF($P19=1,
         $S19/12,
         IF(BT$4=1,
            $T19/12,
            IF(BT$4=$P19,
               $U19/12,
               1
      ))),0)
))))</f>
        <v>-</v>
      </c>
      <c r="BV19" s="56" t="str">
        <f ca="1">IF($H19=リスト!$AA$4,"-",
   IF($C19="-","-",
     IF(BV$4&gt;$P19,"-",
       IF(BV$4=1,$E19,OFFSET(BV19,0,-2)-OFFSET(BV19,0,-1)
))))</f>
        <v>-</v>
      </c>
      <c r="BW19" s="57" t="str">
        <f>IF($H19=リスト!$AA$4,"-",
 IF($C19="-","-",
  IF(BV$4&gt;$P19,"-",
   CHOOSE(MATCH($H$3,リスト!$AE$3:$AE$5,0),
    ROUNDUP(
      BV19*IF(BV19*$I19&lt;=$L19,$J19,$I19)*
      IF($P19=1,
         $S19/12,
         IF(BV$4=1,
            $T19/12,
            IF(BV$4=$P19,
               $U19/12,
               1
      ))),0),
    ROUNDDOWN(
      BV19*IF(BV19*$I19&lt;=$L19,$J19,$I19)*
      IF($P19=1,
         $S19/12,
         IF(BV$4=1,
            $T19/12,
            IF(BV$4=$P19,
               $U19/12,
               1
      ))),0),
    ROUND(
      BV19*IF(BV19*$I19&lt;=$L19,$J19,$I19)*
      IF($P19=1,
         $S19/12,
         IF(BV$4=1,
            $T19/12,
            IF(BV$4=$P19,
               $U19/12,
               1
      ))),0)
))))</f>
        <v>-</v>
      </c>
      <c r="BX19" s="56" t="str">
        <f ca="1">IF($H19=リスト!$AA$4,"-",
   IF($C19="-","-",
     IF(BX$4&gt;$P19,"-",
       IF(BX$4=1,$E19,OFFSET(BX19,0,-2)-OFFSET(BX19,0,-1)
))))</f>
        <v>-</v>
      </c>
      <c r="BY19" s="57" t="str">
        <f>IF($H19=リスト!$AA$4,"-",
 IF($C19="-","-",
  IF(BX$4&gt;$P19,"-",
   CHOOSE(MATCH($H$3,リスト!$AE$3:$AE$5,0),
    ROUNDUP(
      BX19*IF(BX19*$I19&lt;=$L19,$J19,$I19)*
      IF($P19=1,
         $S19/12,
         IF(BX$4=1,
            $T19/12,
            IF(BX$4=$P19,
               $U19/12,
               1
      ))),0),
    ROUNDDOWN(
      BX19*IF(BX19*$I19&lt;=$L19,$J19,$I19)*
      IF($P19=1,
         $S19/12,
         IF(BX$4=1,
            $T19/12,
            IF(BX$4=$P19,
               $U19/12,
               1
      ))),0),
    ROUND(
      BX19*IF(BX19*$I19&lt;=$L19,$J19,$I19)*
      IF($P19=1,
         $S19/12,
         IF(BX$4=1,
            $T19/12,
            IF(BX$4=$P19,
               $U19/12,
               1
      ))),0)
))))</f>
        <v>-</v>
      </c>
      <c r="BZ19" s="56" t="str">
        <f ca="1">IF($H19=リスト!$AA$4,"-",
   IF($C19="-","-",
     IF(BZ$4&gt;$P19,"-",
       IF(BZ$4=1,$E19,OFFSET(BZ19,0,-2)-OFFSET(BZ19,0,-1)
))))</f>
        <v>-</v>
      </c>
      <c r="CA19" s="57" t="str">
        <f>IF($H19=リスト!$AA$4,"-",
 IF($C19="-","-",
  IF(BZ$4&gt;$P19,"-",
   CHOOSE(MATCH($H$3,リスト!$AE$3:$AE$5,0),
    ROUNDUP(
      BZ19*IF(BZ19*$I19&lt;=$L19,$J19,$I19)*
      IF($P19=1,
         $S19/12,
         IF(BZ$4=1,
            $T19/12,
            IF(BZ$4=$P19,
               $U19/12,
               1
      ))),0),
    ROUNDDOWN(
      BZ19*IF(BZ19*$I19&lt;=$L19,$J19,$I19)*
      IF($P19=1,
         $S19/12,
         IF(BZ$4=1,
            $T19/12,
            IF(BZ$4=$P19,
               $U19/12,
               1
      ))),0),
    ROUND(
      BZ19*IF(BZ19*$I19&lt;=$L19,$J19,$I19)*
      IF($P19=1,
         $S19/12,
         IF(BZ$4=1,
            $T19/12,
            IF(BZ$4=$P19,
               $U19/12,
               1
      ))),0)
))))</f>
        <v>-</v>
      </c>
      <c r="CB19" s="56" t="str">
        <f ca="1">IF($H19=リスト!$AA$4,"-",
   IF($C19="-","-",
     IF(CB$4&gt;$P19,"-",
       IF(CB$4=1,$E19,OFFSET(CB19,0,-2)-OFFSET(CB19,0,-1)
))))</f>
        <v>-</v>
      </c>
      <c r="CC19" s="57" t="str">
        <f>IF($H19=リスト!$AA$4,"-",
 IF($C19="-","-",
  IF(CB$4&gt;$P19,"-",
   CHOOSE(MATCH($H$3,リスト!$AE$3:$AE$5,0),
    ROUNDUP(
      CB19*IF(CB19*$I19&lt;=$L19,$J19,$I19)*
      IF($P19=1,
         $S19/12,
         IF(CB$4=1,
            $T19/12,
            IF(CB$4=$P19,
               $U19/12,
               1
      ))),0),
    ROUNDDOWN(
      CB19*IF(CB19*$I19&lt;=$L19,$J19,$I19)*
      IF($P19=1,
         $S19/12,
         IF(CB$4=1,
            $T19/12,
            IF(CB$4=$P19,
               $U19/12,
               1
      ))),0),
    ROUND(
      CB19*IF(CB19*$I19&lt;=$L19,$J19,$I19)*
      IF($P19=1,
         $S19/12,
         IF(CB$4=1,
            $T19/12,
            IF(CB$4=$P19,
               $U19/12,
               1
      ))),0)
))))</f>
        <v>-</v>
      </c>
      <c r="CD19" s="56" t="str">
        <f ca="1">IF($H19=リスト!$AA$4,"-",
   IF($C19="-","-",
     IF(CD$4&gt;$P19,"-",
       IF(CD$4=1,$E19,OFFSET(CD19,0,-2)-OFFSET(CD19,0,-1)
))))</f>
        <v>-</v>
      </c>
      <c r="CE19" s="57" t="str">
        <f>IF($H19=リスト!$AA$4,"-",
 IF($C19="-","-",
  IF(CD$4&gt;$P19,"-",
   CHOOSE(MATCH($H$3,リスト!$AE$3:$AE$5,0),
    ROUNDUP(
      CD19*IF(CD19*$I19&lt;=$L19,$J19,$I19)*
      IF($P19=1,
         $S19/12,
         IF(CD$4=1,
            $T19/12,
            IF(CD$4=$P19,
               $U19/12,
               1
      ))),0),
    ROUNDDOWN(
      CD19*IF(CD19*$I19&lt;=$L19,$J19,$I19)*
      IF($P19=1,
         $S19/12,
         IF(CD$4=1,
            $T19/12,
            IF(CD$4=$P19,
               $U19/12,
               1
      ))),0),
    ROUND(
      CD19*IF(CD19*$I19&lt;=$L19,$J19,$I19)*
      IF($P19=1,
         $S19/12,
         IF(CD$4=1,
            $T19/12,
            IF(CD$4=$P19,
               $U19/12,
               1
      ))),0)
))))</f>
        <v>-</v>
      </c>
      <c r="CF19" s="56" t="str">
        <f ca="1">IF($H19=リスト!$AA$4,"-",
   IF($C19="-","-",
     IF(CF$4&gt;$P19,"-",
       IF(CF$4=1,$E19,OFFSET(CF19,0,-2)-OFFSET(CF19,0,-1)
))))</f>
        <v>-</v>
      </c>
      <c r="CG19" s="57" t="str">
        <f>IF($H19=リスト!$AA$4,"-",
 IF($C19="-","-",
  IF(CF$4&gt;$P19,"-",
   CHOOSE(MATCH($H$3,リスト!$AE$3:$AE$5,0),
    ROUNDUP(
      CF19*IF(CF19*$I19&lt;=$L19,$J19,$I19)*
      IF($P19=1,
         $S19/12,
         IF(CF$4=1,
            $T19/12,
            IF(CF$4=$P19,
               $U19/12,
               1
      ))),0),
    ROUNDDOWN(
      CF19*IF(CF19*$I19&lt;=$L19,$J19,$I19)*
      IF($P19=1,
         $S19/12,
         IF(CF$4=1,
            $T19/12,
            IF(CF$4=$P19,
               $U19/12,
               1
      ))),0),
    ROUND(
      CF19*IF(CF19*$I19&lt;=$L19,$J19,$I19)*
      IF($P19=1,
         $S19/12,
         IF(CF$4=1,
            $T19/12,
            IF(CF$4=$P19,
               $U19/12,
               1
      ))),0)
))))</f>
        <v>-</v>
      </c>
      <c r="CH19" s="56" t="str">
        <f ca="1">IF($H19=リスト!$AA$4,"-",
   IF($C19="-","-",
     IF(CH$4&gt;$P19,"-",
       IF(CH$4=1,$E19,OFFSET(CH19,0,-2)-OFFSET(CH19,0,-1)
))))</f>
        <v>-</v>
      </c>
      <c r="CI19" s="57" t="str">
        <f>IF($H19=リスト!$AA$4,"-",
 IF($C19="-","-",
  IF(CH$4&gt;$P19,"-",
   CHOOSE(MATCH($H$3,リスト!$AE$3:$AE$5,0),
    ROUNDUP(
      CH19*IF(CH19*$I19&lt;=$L19,$J19,$I19)*
      IF($P19=1,
         $S19/12,
         IF(CH$4=1,
            $T19/12,
            IF(CH$4=$P19,
               $U19/12,
               1
      ))),0),
    ROUNDDOWN(
      CH19*IF(CH19*$I19&lt;=$L19,$J19,$I19)*
      IF($P19=1,
         $S19/12,
         IF(CH$4=1,
            $T19/12,
            IF(CH$4=$P19,
               $U19/12,
               1
      ))),0),
    ROUND(
      CH19*IF(CH19*$I19&lt;=$L19,$J19,$I19)*
      IF($P19=1,
         $S19/12,
         IF(CH$4=1,
            $T19/12,
            IF(CH$4=$P19,
               $U19/12,
               1
      ))),0)
))))</f>
        <v>-</v>
      </c>
      <c r="CJ19" s="56" t="str">
        <f ca="1">IF($H19=リスト!$AA$4,"-",
   IF($C19="-","-",
     IF(CJ$4&gt;$P19,"-",
       IF(CJ$4=1,$E19,OFFSET(CJ19,0,-2)-OFFSET(CJ19,0,-1)
))))</f>
        <v>-</v>
      </c>
      <c r="CK19" s="57" t="str">
        <f>IF($H19=リスト!$AA$4,"-",
 IF($C19="-","-",
  IF(CJ$4&gt;$P19,"-",
   CHOOSE(MATCH($H$3,リスト!$AE$3:$AE$5,0),
    ROUNDUP(
      CJ19*IF(CJ19*$I19&lt;=$L19,$J19,$I19)*
      IF($P19=1,
         $S19/12,
         IF(CJ$4=1,
            $T19/12,
            IF(CJ$4=$P19,
               $U19/12,
               1
      ))),0),
    ROUNDDOWN(
      CJ19*IF(CJ19*$I19&lt;=$L19,$J19,$I19)*
      IF($P19=1,
         $S19/12,
         IF(CJ$4=1,
            $T19/12,
            IF(CJ$4=$P19,
               $U19/12,
               1
      ))),0),
    ROUND(
      CJ19*IF(CJ19*$I19&lt;=$L19,$J19,$I19)*
      IF($P19=1,
         $S19/12,
         IF(CJ$4=1,
            $T19/12,
            IF(CJ$4=$P19,
               $U19/12,
               1
      ))),0)
))))</f>
        <v>-</v>
      </c>
      <c r="CL19" s="56" t="str">
        <f ca="1">IF($H19=リスト!$AA$4,"-",
   IF($C19="-","-",
     IF(CL$4&gt;$P19,"-",
       IF(CL$4=1,$E19,OFFSET(CL19,0,-2)-OFFSET(CL19,0,-1)
))))</f>
        <v>-</v>
      </c>
      <c r="CM19" s="57" t="str">
        <f>IF($H19=リスト!$AA$4,"-",
 IF($C19="-","-",
  IF(CL$4&gt;$P19,"-",
   CHOOSE(MATCH($H$3,リスト!$AE$3:$AE$5,0),
    ROUNDUP(
      CL19*IF(CL19*$I19&lt;=$L19,$J19,$I19)*
      IF($P19=1,
         $S19/12,
         IF(CL$4=1,
            $T19/12,
            IF(CL$4=$P19,
               $U19/12,
               1
      ))),0),
    ROUNDDOWN(
      CL19*IF(CL19*$I19&lt;=$L19,$J19,$I19)*
      IF($P19=1,
         $S19/12,
         IF(CL$4=1,
            $T19/12,
            IF(CL$4=$P19,
               $U19/12,
               1
      ))),0),
    ROUND(
      CL19*IF(CL19*$I19&lt;=$L19,$J19,$I19)*
      IF($P19=1,
         $S19/12,
         IF(CL$4=1,
            $T19/12,
            IF(CL$4=$P19,
               $U19/12,
               1
      ))),0)
))))</f>
        <v>-</v>
      </c>
      <c r="CN19" s="56" t="str">
        <f ca="1">IF($H19=リスト!$AA$4,"-",
   IF($C19="-","-",
     IF(CN$4&gt;$P19,"-",
       IF(CN$4=1,$E19,OFFSET(CN19,0,-2)-OFFSET(CN19,0,-1)
))))</f>
        <v>-</v>
      </c>
      <c r="CO19" s="57" t="str">
        <f>IF($H19=リスト!$AA$4,"-",
 IF($C19="-","-",
  IF(CN$4&gt;$P19,"-",
   CHOOSE(MATCH($H$3,リスト!$AE$3:$AE$5,0),
    ROUNDUP(
      CN19*IF(CN19*$I19&lt;=$L19,$J19,$I19)*
      IF($P19=1,
         $S19/12,
         IF(CN$4=1,
            $T19/12,
            IF(CN$4=$P19,
               $U19/12,
               1
      ))),0),
    ROUNDDOWN(
      CN19*IF(CN19*$I19&lt;=$L19,$J19,$I19)*
      IF($P19=1,
         $S19/12,
         IF(CN$4=1,
            $T19/12,
            IF(CN$4=$P19,
               $U19/12,
               1
      ))),0),
    ROUND(
      CN19*IF(CN19*$I19&lt;=$L19,$J19,$I19)*
      IF($P19=1,
         $S19/12,
         IF(CN$4=1,
            $T19/12,
            IF(CN$4=$P19,
               $U19/12,
               1
      ))),0)
))))</f>
        <v>-</v>
      </c>
      <c r="CP19" s="56" t="str">
        <f ca="1">IF($H19=リスト!$AA$4,"-",
   IF($C19="-","-",
     IF(CP$4&gt;$P19,"-",
       IF(CP$4=1,$E19,OFFSET(CP19,0,-2)-OFFSET(CP19,0,-1)
))))</f>
        <v>-</v>
      </c>
      <c r="CQ19" s="57" t="str">
        <f>IF($H19=リスト!$AA$4,"-",
 IF($C19="-","-",
  IF(CP$4&gt;$P19,"-",
   CHOOSE(MATCH($H$3,リスト!$AE$3:$AE$5,0),
    ROUNDUP(
      CP19*IF(CP19*$I19&lt;=$L19,$J19,$I19)*
      IF($P19=1,
         $S19/12,
         IF(CP$4=1,
            $T19/12,
            IF(CP$4=$P19,
               $U19/12,
               1
      ))),0),
    ROUNDDOWN(
      CP19*IF(CP19*$I19&lt;=$L19,$J19,$I19)*
      IF($P19=1,
         $S19/12,
         IF(CP$4=1,
            $T19/12,
            IF(CP$4=$P19,
               $U19/12,
               1
      ))),0),
    ROUND(
      CP19*IF(CP19*$I19&lt;=$L19,$J19,$I19)*
      IF($P19=1,
         $S19/12,
         IF(CP$4=1,
            $T19/12,
            IF(CP$4=$P19,
               $U19/12,
               1
      ))),0)
))))</f>
        <v>-</v>
      </c>
      <c r="CR19" s="56" t="str">
        <f ca="1">IF($H19=リスト!$AA$4,"-",
   IF($C19="-","-",
     IF(CR$4&gt;$P19,"-",
       IF(CR$4=1,$E19,OFFSET(CR19,0,-2)-OFFSET(CR19,0,-1)
))))</f>
        <v>-</v>
      </c>
      <c r="CS19" s="57" t="str">
        <f>IF($H19=リスト!$AA$4,"-",
 IF($C19="-","-",
  IF(CR$4&gt;$P19,"-",
   CHOOSE(MATCH($H$3,リスト!$AE$3:$AE$5,0),
    ROUNDUP(
      CR19*IF(CR19*$I19&lt;=$L19,$J19,$I19)*
      IF($P19=1,
         $S19/12,
         IF(CR$4=1,
            $T19/12,
            IF(CR$4=$P19,
               $U19/12,
               1
      ))),0),
    ROUNDDOWN(
      CR19*IF(CR19*$I19&lt;=$L19,$J19,$I19)*
      IF($P19=1,
         $S19/12,
         IF(CR$4=1,
            $T19/12,
            IF(CR$4=$P19,
               $U19/12,
               1
      ))),0),
    ROUND(
      CR19*IF(CR19*$I19&lt;=$L19,$J19,$I19)*
      IF($P19=1,
         $S19/12,
         IF(CR$4=1,
            $T19/12,
            IF(CR$4=$P19,
               $U19/12,
               1
      ))),0)
))))</f>
        <v>-</v>
      </c>
      <c r="CT19" s="56" t="str">
        <f ca="1">IF($H19=リスト!$AA$4,"-",
   IF($C19="-","-",
     IF(CT$4&gt;$P19,"-",
       IF(CT$4=1,$E19,OFFSET(CT19,0,-2)-OFFSET(CT19,0,-1)
))))</f>
        <v>-</v>
      </c>
      <c r="CU19" s="57" t="str">
        <f>IF($H19=リスト!$AA$4,"-",
 IF($C19="-","-",
  IF(CT$4&gt;$P19,"-",
   CHOOSE(MATCH($H$3,リスト!$AE$3:$AE$5,0),
    ROUNDUP(
      CT19*IF(CT19*$I19&lt;=$L19,$J19,$I19)*
      IF($P19=1,
         $S19/12,
         IF(CT$4=1,
            $T19/12,
            IF(CT$4=$P19,
               $U19/12,
               1
      ))),0),
    ROUNDDOWN(
      CT19*IF(CT19*$I19&lt;=$L19,$J19,$I19)*
      IF($P19=1,
         $S19/12,
         IF(CT$4=1,
            $T19/12,
            IF(CT$4=$P19,
               $U19/12,
               1
      ))),0),
    ROUND(
      CT19*IF(CT19*$I19&lt;=$L19,$J19,$I19)*
      IF($P19=1,
         $S19/12,
         IF(CT$4=1,
            $T19/12,
            IF(CT$4=$P19,
               $U19/12,
               1
      ))),0)
))))</f>
        <v>-</v>
      </c>
      <c r="CV19" s="56" t="str">
        <f ca="1">IF($H19=リスト!$AA$4,"-",
   IF($C19="-","-",
     IF(CV$4&gt;$P19,"-",
       IF(CV$4=1,$E19,OFFSET(CV19,0,-2)-OFFSET(CV19,0,-1)
))))</f>
        <v>-</v>
      </c>
      <c r="CW19" s="57" t="str">
        <f>IF($H19=リスト!$AA$4,"-",
 IF($C19="-","-",
  IF(CV$4&gt;$P19,"-",
   CHOOSE(MATCH($H$3,リスト!$AE$3:$AE$5,0),
    ROUNDUP(
      CV19*IF(CV19*$I19&lt;=$L19,$J19,$I19)*
      IF($P19=1,
         $S19/12,
         IF(CV$4=1,
            $T19/12,
            IF(CV$4=$P19,
               $U19/12,
               1
      ))),0),
    ROUNDDOWN(
      CV19*IF(CV19*$I19&lt;=$L19,$J19,$I19)*
      IF($P19=1,
         $S19/12,
         IF(CV$4=1,
            $T19/12,
            IF(CV$4=$P19,
               $U19/12,
               1
      ))),0),
    ROUND(
      CV19*IF(CV19*$I19&lt;=$L19,$J19,$I19)*
      IF($P19=1,
         $S19/12,
         IF(CV$4=1,
            $T19/12,
            IF(CV$4=$P19,
               $U19/12,
               1
      ))),0)
))))</f>
        <v>-</v>
      </c>
      <c r="CX19" s="56" t="str">
        <f ca="1">IF($H19=リスト!$AA$4,"-",
   IF($C19="-","-",
     IF(CX$4&gt;$P19,"-",
       IF(CX$4=1,$E19,OFFSET(CX19,0,-2)-OFFSET(CX19,0,-1)
))))</f>
        <v>-</v>
      </c>
      <c r="CY19" s="57" t="str">
        <f>IF($H19=リスト!$AA$4,"-",
 IF($C19="-","-",
  IF(CX$4&gt;$P19,"-",
   CHOOSE(MATCH($H$3,リスト!$AE$3:$AE$5,0),
    ROUNDUP(
      CX19*IF(CX19*$I19&lt;=$L19,$J19,$I19)*
      IF($P19=1,
         $S19/12,
         IF(CX$4=1,
            $T19/12,
            IF(CX$4=$P19,
               $U19/12,
               1
      ))),0),
    ROUNDDOWN(
      CX19*IF(CX19*$I19&lt;=$L19,$J19,$I19)*
      IF($P19=1,
         $S19/12,
         IF(CX$4=1,
            $T19/12,
            IF(CX$4=$P19,
               $U19/12,
               1
      ))),0),
    ROUND(
      CX19*IF(CX19*$I19&lt;=$L19,$J19,$I19)*
      IF($P19=1,
         $S19/12,
         IF(CX$4=1,
            $T19/12,
            IF(CX$4=$P19,
               $U19/12,
               1
      ))),0)
))))</f>
        <v>-</v>
      </c>
      <c r="CZ19" s="56" t="str">
        <f ca="1">IF($H19=リスト!$AA$4,"-",
   IF($C19="-","-",
     IF(CZ$4&gt;$P19,"-",
       IF(CZ$4=1,$E19,OFFSET(CZ19,0,-2)-OFFSET(CZ19,0,-1)
))))</f>
        <v>-</v>
      </c>
      <c r="DA19" s="57" t="str">
        <f>IF($H19=リスト!$AA$4,"-",
 IF($C19="-","-",
  IF(CZ$4&gt;$P19,"-",
   CHOOSE(MATCH($H$3,リスト!$AE$3:$AE$5,0),
    ROUNDUP(
      CZ19*IF(CZ19*$I19&lt;=$L19,$J19,$I19)*
      IF($P19=1,
         $S19/12,
         IF(CZ$4=1,
            $T19/12,
            IF(CZ$4=$P19,
               $U19/12,
               1
      ))),0),
    ROUNDDOWN(
      CZ19*IF(CZ19*$I19&lt;=$L19,$J19,$I19)*
      IF($P19=1,
         $S19/12,
         IF(CZ$4=1,
            $T19/12,
            IF(CZ$4=$P19,
               $U19/12,
               1
      ))),0),
    ROUND(
      CZ19*IF(CZ19*$I19&lt;=$L19,$J19,$I19)*
      IF($P19=1,
         $S19/12,
         IF(CZ$4=1,
            $T19/12,
            IF(CZ$4=$P19,
               $U19/12,
               1
      ))),0)
))))</f>
        <v>-</v>
      </c>
      <c r="DB19" s="56" t="str">
        <f ca="1">IF($H19=リスト!$AA$4,"-",
   IF($C19="-","-",
     IF(DB$4&gt;$P19,"-",
       IF(DB$4=1,$E19,OFFSET(DB19,0,-2)-OFFSET(DB19,0,-1)
))))</f>
        <v>-</v>
      </c>
      <c r="DC19" s="57" t="str">
        <f>IF($H19=リスト!$AA$4,"-",
 IF($C19="-","-",
  IF(DB$4&gt;$P19,"-",
   CHOOSE(MATCH($H$3,リスト!$AE$3:$AE$5,0),
    ROUNDUP(
      DB19*IF(DB19*$I19&lt;=$L19,$J19,$I19)*
      IF($P19=1,
         $S19/12,
         IF(DB$4=1,
            $T19/12,
            IF(DB$4=$P19,
               $U19/12,
               1
      ))),0),
    ROUNDDOWN(
      DB19*IF(DB19*$I19&lt;=$L19,$J19,$I19)*
      IF($P19=1,
         $S19/12,
         IF(DB$4=1,
            $T19/12,
            IF(DB$4=$P19,
               $U19/12,
               1
      ))),0),
    ROUND(
      DB19*IF(DB19*$I19&lt;=$L19,$J19,$I19)*
      IF($P19=1,
         $S19/12,
         IF(DB$4=1,
            $T19/12,
            IF(DB$4=$P19,
               $U19/12,
               1
      ))),0)
))))</f>
        <v>-</v>
      </c>
      <c r="DD19" s="56" t="str">
        <f ca="1">IF($H19=リスト!$AA$4,"-",
   IF($C19="-","-",
     IF(DD$4&gt;$P19,"-",
       IF(DD$4=1,$E19,OFFSET(DD19,0,-2)-OFFSET(DD19,0,-1)
))))</f>
        <v>-</v>
      </c>
      <c r="DE19" s="57" t="str">
        <f>IF($H19=リスト!$AA$4,"-",
 IF($C19="-","-",
  IF(DD$4&gt;$P19,"-",
   CHOOSE(MATCH($H$3,リスト!$AE$3:$AE$5,0),
    ROUNDUP(
      DD19*IF(DD19*$I19&lt;=$L19,$J19,$I19)*
      IF($P19=1,
         $S19/12,
         IF(DD$4=1,
            $T19/12,
            IF(DD$4=$P19,
               $U19/12,
               1
      ))),0),
    ROUNDDOWN(
      DD19*IF(DD19*$I19&lt;=$L19,$J19,$I19)*
      IF($P19=1,
         $S19/12,
         IF(DD$4=1,
            $T19/12,
            IF(DD$4=$P19,
               $U19/12,
               1
      ))),0),
    ROUND(
      DD19*IF(DD19*$I19&lt;=$L19,$J19,$I19)*
      IF($P19=1,
         $S19/12,
         IF(DD$4=1,
            $T19/12,
            IF(DD$4=$P19,
               $U19/12,
               1
      ))),0)
))))</f>
        <v>-</v>
      </c>
      <c r="DF19" s="56" t="str">
        <f ca="1">IF($H19=リスト!$AA$4,"-",
   IF($C19="-","-",
     IF(DF$4&gt;$P19,"-",
       IF(DF$4=1,$E19,OFFSET(DF19,0,-2)-OFFSET(DF19,0,-1)
))))</f>
        <v>-</v>
      </c>
      <c r="DG19" s="57" t="str">
        <f>IF($H19=リスト!$AA$4,"-",
 IF($C19="-","-",
  IF(DF$4&gt;$P19,"-",
   CHOOSE(MATCH($H$3,リスト!$AE$3:$AE$5,0),
    ROUNDUP(
      DF19*IF(DF19*$I19&lt;=$L19,$J19,$I19)*
      IF($P19=1,
         $S19/12,
         IF(DF$4=1,
            $T19/12,
            IF(DF$4=$P19,
               $U19/12,
               1
      ))),0),
    ROUNDDOWN(
      DF19*IF(DF19*$I19&lt;=$L19,$J19,$I19)*
      IF($P19=1,
         $S19/12,
         IF(DF$4=1,
            $T19/12,
            IF(DF$4=$P19,
               $U19/12,
               1
      ))),0),
    ROUND(
      DF19*IF(DF19*$I19&lt;=$L19,$J19,$I19)*
      IF($P19=1,
         $S19/12,
         IF(DF$4=1,
            $T19/12,
            IF(DF$4=$P19,
               $U19/12,
               1
      ))),0)
))))</f>
        <v>-</v>
      </c>
      <c r="DH19" s="56" t="str">
        <f ca="1">IF($H19=リスト!$AA$4,"-",
   IF($C19="-","-",
     IF(DH$4&gt;$P19,"-",
       IF(DH$4=1,$E19,OFFSET(DH19,0,-2)-OFFSET(DH19,0,-1)
))))</f>
        <v>-</v>
      </c>
      <c r="DI19" s="57" t="str">
        <f>IF($H19=リスト!$AA$4,"-",
 IF($C19="-","-",
  IF(DH$4&gt;$P19,"-",
   CHOOSE(MATCH($H$3,リスト!$AE$3:$AE$5,0),
    ROUNDUP(
      DH19*IF(DH19*$I19&lt;=$L19,$J19,$I19)*
      IF($P19=1,
         $S19/12,
         IF(DH$4=1,
            $T19/12,
            IF(DH$4=$P19,
               $U19/12,
               1
      ))),0),
    ROUNDDOWN(
      DH19*IF(DH19*$I19&lt;=$L19,$J19,$I19)*
      IF($P19=1,
         $S19/12,
         IF(DH$4=1,
            $T19/12,
            IF(DH$4=$P19,
               $U19/12,
               1
      ))),0),
    ROUND(
      DH19*IF(DH19*$I19&lt;=$L19,$J19,$I19)*
      IF($P19=1,
         $S19/12,
         IF(DH$4=1,
            $T19/12,
            IF(DH$4=$P19,
               $U19/12,
               1
      ))),0)
))))</f>
        <v>-</v>
      </c>
      <c r="DJ19" s="56" t="str">
        <f ca="1">IF($H19=リスト!$AA$4,"-",
   IF($C19="-","-",
     IF(DJ$4&gt;$P19,"-",
       IF(DJ$4=1,$E19,OFFSET(DJ19,0,-2)-OFFSET(DJ19,0,-1)
))))</f>
        <v>-</v>
      </c>
      <c r="DK19" s="57" t="str">
        <f>IF($H19=リスト!$AA$4,"-",
 IF($C19="-","-",
  IF(DJ$4&gt;$P19,"-",
   CHOOSE(MATCH($H$3,リスト!$AE$3:$AE$5,0),
    ROUNDUP(
      DJ19*IF(DJ19*$I19&lt;=$L19,$J19,$I19)*
      IF($P19=1,
         $S19/12,
         IF(DJ$4=1,
            $T19/12,
            IF(DJ$4=$P19,
               $U19/12,
               1
      ))),0),
    ROUNDDOWN(
      DJ19*IF(DJ19*$I19&lt;=$L19,$J19,$I19)*
      IF($P19=1,
         $S19/12,
         IF(DJ$4=1,
            $T19/12,
            IF(DJ$4=$P19,
               $U19/12,
               1
      ))),0),
    ROUND(
      DJ19*IF(DJ19*$I19&lt;=$L19,$J19,$I19)*
      IF($P19=1,
         $S19/12,
         IF(DJ$4=1,
            $T19/12,
            IF(DJ$4=$P19,
               $U19/12,
               1
      ))),0)
))))</f>
        <v>-</v>
      </c>
      <c r="DL19" s="56" t="str">
        <f ca="1">IF($H19=リスト!$AA$4,"-",
   IF($C19="-","-",
     IF(DL$4&gt;$P19,"-",
       IF(DL$4=1,$E19,OFFSET(DL19,0,-2)-OFFSET(DL19,0,-1)
))))</f>
        <v>-</v>
      </c>
      <c r="DM19" s="57" t="str">
        <f>IF($H19=リスト!$AA$4,"-",
 IF($C19="-","-",
  IF(DL$4&gt;$P19,"-",
   CHOOSE(MATCH($H$3,リスト!$AE$3:$AE$5,0),
    ROUNDUP(
      DL19*IF(DL19*$I19&lt;=$L19,$J19,$I19)*
      IF($P19=1,
         $S19/12,
         IF(DL$4=1,
            $T19/12,
            IF(DL$4=$P19,
               $U19/12,
               1
      ))),0),
    ROUNDDOWN(
      DL19*IF(DL19*$I19&lt;=$L19,$J19,$I19)*
      IF($P19=1,
         $S19/12,
         IF(DL$4=1,
            $T19/12,
            IF(DL$4=$P19,
               $U19/12,
               1
      ))),0),
    ROUND(
      DL19*IF(DL19*$I19&lt;=$L19,$J19,$I19)*
      IF($P19=1,
         $S19/12,
         IF(DL$4=1,
            $T19/12,
            IF(DL$4=$P19,
               $U19/12,
               1
      ))),0)
))))</f>
        <v>-</v>
      </c>
      <c r="DN19" s="56" t="str">
        <f ca="1">IF($H19=リスト!$AA$4,"-",
   IF($C19="-","-",
     IF(DN$4&gt;$P19,"-",
       IF(DN$4=1,$E19,OFFSET(DN19,0,-2)-OFFSET(DN19,0,-1)
))))</f>
        <v>-</v>
      </c>
      <c r="DO19" s="57" t="str">
        <f>IF($H19=リスト!$AA$4,"-",
 IF($C19="-","-",
  IF(DN$4&gt;$P19,"-",
   CHOOSE(MATCH($H$3,リスト!$AE$3:$AE$5,0),
    ROUNDUP(
      DN19*IF(DN19*$I19&lt;=$L19,$J19,$I19)*
      IF($P19=1,
         $S19/12,
         IF(DN$4=1,
            $T19/12,
            IF(DN$4=$P19,
               $U19/12,
               1
      ))),0),
    ROUNDDOWN(
      DN19*IF(DN19*$I19&lt;=$L19,$J19,$I19)*
      IF($P19=1,
         $S19/12,
         IF(DN$4=1,
            $T19/12,
            IF(DN$4=$P19,
               $U19/12,
               1
      ))),0),
    ROUND(
      DN19*IF(DN19*$I19&lt;=$L19,$J19,$I19)*
      IF($P19=1,
         $S19/12,
         IF(DN$4=1,
            $T19/12,
            IF(DN$4=$P19,
               $U19/12,
               1
      ))),0)
))))</f>
        <v>-</v>
      </c>
      <c r="DP19" s="56" t="str">
        <f ca="1">IF($H19=リスト!$AA$4,"-",
   IF($C19="-","-",
     IF(DP$4&gt;$P19,"-",
       IF(DP$4=1,$E19,OFFSET(DP19,0,-2)-OFFSET(DP19,0,-1)
))))</f>
        <v>-</v>
      </c>
      <c r="DQ19" s="57" t="str">
        <f>IF($H19=リスト!$AA$4,"-",
 IF($C19="-","-",
  IF(DP$4&gt;$P19,"-",
   CHOOSE(MATCH($H$3,リスト!$AE$3:$AE$5,0),
    ROUNDUP(
      DP19*IF(DP19*$I19&lt;=$L19,$J19,$I19)*
      IF($P19=1,
         $S19/12,
         IF(DP$4=1,
            $T19/12,
            IF(DP$4=$P19,
               $U19/12,
               1
      ))),0),
    ROUNDDOWN(
      DP19*IF(DP19*$I19&lt;=$L19,$J19,$I19)*
      IF($P19=1,
         $S19/12,
         IF(DP$4=1,
            $T19/12,
            IF(DP$4=$P19,
               $U19/12,
               1
      ))),0),
    ROUND(
      DP19*IF(DP19*$I19&lt;=$L19,$J19,$I19)*
      IF($P19=1,
         $S19/12,
         IF(DP$4=1,
            $T19/12,
            IF(DP$4=$P19,
               $U19/12,
               1
      ))),0)
))))</f>
        <v>-</v>
      </c>
      <c r="DR19" s="56" t="str">
        <f ca="1">IF($H19=リスト!$AA$4,"-",
   IF($C19="-","-",
     IF(DR$4&gt;$P19,"-",
       IF(DR$4=1,$E19,OFFSET(DR19,0,-2)-OFFSET(DR19,0,-1)
))))</f>
        <v>-</v>
      </c>
      <c r="DS19" s="57" t="str">
        <f>IF($H19=リスト!$AA$4,"-",
 IF($C19="-","-",
  IF(DR$4&gt;$P19,"-",
   CHOOSE(MATCH($H$3,リスト!$AE$3:$AE$5,0),
    ROUNDUP(
      DR19*IF(DR19*$I19&lt;=$L19,$J19,$I19)*
      IF($P19=1,
         $S19/12,
         IF(DR$4=1,
            $T19/12,
            IF(DR$4=$P19,
               $U19/12,
               1
      ))),0),
    ROUNDDOWN(
      DR19*IF(DR19*$I19&lt;=$L19,$J19,$I19)*
      IF($P19=1,
         $S19/12,
         IF(DR$4=1,
            $T19/12,
            IF(DR$4=$P19,
               $U19/12,
               1
      ))),0),
    ROUND(
      DR19*IF(DR19*$I19&lt;=$L19,$J19,$I19)*
      IF($P19=1,
         $S19/12,
         IF(DR$4=1,
            $T19/12,
            IF(DR$4=$P19,
               $U19/12,
               1
      ))),0)
))))</f>
        <v>-</v>
      </c>
      <c r="DT19" s="56" t="str" cm="1">
        <f t="array" ref="DT19">IF($H19&lt;&gt;リスト!$AA$3,"-",$E19-SUMPRODUCT(IFERROR($Y19:$DS19*1,0), --(MOD(COLUMN($Y19:$DS19)-COLUMN($Y19),2)=0)))</f>
        <v>-</v>
      </c>
      <c r="DU19" s="56" t="str">
        <f>IF($H19&lt;&gt;リスト!$AA$4,"-",
    IF($H$3=リスト!$AE$3,$E19-ROUNDUP($E19*I19*$W19/12,0),
    IF($H$3=リスト!$AE$4,$E19-ROUNDDOWN($E19*I19*$W19/12,0),
    IF($H$3=リスト!$AE$5,$E19-ROUND($E19*I19*$W19/12,0),
    "-"))))</f>
        <v>-</v>
      </c>
    </row>
    <row r="20" spans="2:125">
      <c r="B20" s="54">
        <v>15</v>
      </c>
      <c r="C20" s="55" t="str">
        <f>IF(財産処分報告用!$C20="","-",財産処分報告用!$C20)</f>
        <v>-</v>
      </c>
      <c r="D20" s="55" t="str">
        <f>財産処分報告用!$E20</f>
        <v>-</v>
      </c>
      <c r="E20" s="56" t="str">
        <f>IF(財産処分報告用!$J20="","-",財産処分報告用!$J20)</f>
        <v>-</v>
      </c>
      <c r="F20" s="101" t="str">
        <f>IF(財産処分報告用!$K20="","-",財産処分報告用!$K20)</f>
        <v>-</v>
      </c>
      <c r="G20" s="101" t="str">
        <f>IF(財産処分報告用!$L20="","-",財産処分報告用!$L20)</f>
        <v>-</v>
      </c>
      <c r="H20" s="55" t="str">
        <f>IF(財産処分報告用!$M20="","-",財産処分報告用!$M20)</f>
        <v>-</v>
      </c>
      <c r="I20" s="55" t="str">
        <f>IF(OR($D20="-",$H20="-"),"-",INDEX(リスト!$AG$2:$AI$101,MATCH($D20,リスト!$AG$2:$AG$101,0),MATCH($H20,リスト!$AG$2:$AI$2,0)))</f>
        <v>-</v>
      </c>
      <c r="J20" s="55" t="str">
        <f>IF(OR($D20="-",$H20="-"),"-",IF($H20=リスト!$AA$4,"-",INDEX(リスト!$AG$2:$AK$101,MATCH($D20,リスト!$AG$2:$AG$101,0),4)))</f>
        <v>-</v>
      </c>
      <c r="K20" s="55" t="str">
        <f>IF(OR($D20="-",$H20="-"),"-",IF($H20=リスト!$AA$4,"-",INDEX(リスト!$AG$2:$AK$101,MATCH($D20,リスト!$AG$2:$AG$101,0),5)))</f>
        <v>-</v>
      </c>
      <c r="L20" s="55" t="str">
        <f t="shared" si="0"/>
        <v>-</v>
      </c>
      <c r="M20" s="101" t="str">
        <f t="shared" si="1"/>
        <v>-</v>
      </c>
      <c r="N20" s="101" t="str">
        <f t="shared" si="2"/>
        <v>-</v>
      </c>
      <c r="O20" s="101" t="str">
        <f t="shared" si="3"/>
        <v>-</v>
      </c>
      <c r="P20" s="102" t="str">
        <f t="shared" si="4"/>
        <v>-</v>
      </c>
      <c r="Q20" s="115" t="str">
        <f t="shared" si="5"/>
        <v>-</v>
      </c>
      <c r="R20" s="116" t="str">
        <f t="shared" si="6"/>
        <v>-</v>
      </c>
      <c r="S20" s="102" t="str">
        <f t="shared" si="7"/>
        <v>-</v>
      </c>
      <c r="T20" s="102" t="str">
        <f t="shared" si="8"/>
        <v>-</v>
      </c>
      <c r="U20" s="102" t="str">
        <f t="shared" si="9"/>
        <v>-</v>
      </c>
      <c r="V20" s="102" t="str">
        <f t="shared" si="10"/>
        <v>-</v>
      </c>
      <c r="W20" s="55" t="str">
        <f t="shared" si="11"/>
        <v>-</v>
      </c>
      <c r="X20" s="56" t="str">
        <f ca="1">IF($H20=リスト!$AA$4,"-",
   IF($C20="-","-",
     IF(X$4&gt;$P20,"-",
       IF(X$4=1,$E20,OFFSET(X20,0,-2)-OFFSET(X20,0,-1)
))))</f>
        <v>-</v>
      </c>
      <c r="Y20" s="57" t="str">
        <f>IF($H20=リスト!$AA$4,"-",
 IF($C20="-","-",
  IF(X$4&gt;$P20,"-",
   CHOOSE(MATCH($H$3,リスト!$AE$3:$AE$5,0),
    ROUNDUP(
      X20*IF(X20*$I20&lt;=$L20,$J20,$I20)*
      IF($P20=1,
         $S20/12,
         IF(X$4=1,
            $T20/12,
            IF(X$4=$P20,
               $U20/12,
               1
      ))),0),
    ROUNDDOWN(
      X20*IF(X20*$I20&lt;=$L20,$J20,$I20)*
      IF($P20=1,
         $S20/12,
         IF(X$4=1,
            $T20/12,
            IF(X$4=$P20,
               $U20/12,
               1
      ))),0),
    ROUND(
      X20*IF(X20*$I20&lt;=$L20,$J20,$I20)*
      IF($P20=1,
         $S20/12,
         IF(X$4=1,
            $T20/12,
            IF(X$4=$P20,
               $U20/12,
               1
      ))),0)
))))</f>
        <v>-</v>
      </c>
      <c r="Z20" s="56" t="str">
        <f ca="1">IF($H20=リスト!$AA$4,"-",
   IF($C20="-","-",
     IF(Z$4&gt;$P20,"-",
       IF(Z$4=1,$E20,OFFSET(Z20,0,-2)-OFFSET(Z20,0,-1)
))))</f>
        <v>-</v>
      </c>
      <c r="AA20" s="57" t="str">
        <f>IF($H20=リスト!$AA$4,"-",
 IF($C20="-","-",
  IF(Z$4&gt;$P20,"-",
   CHOOSE(MATCH($H$3,リスト!$AE$3:$AE$5,0),
    ROUNDUP(
      Z20*IF(Z20*$I20&lt;=$L20,$J20,$I20)*
      IF($P20=1,
         $S20/12,
         IF(Z$4=1,
            $T20/12,
            IF(Z$4=$P20,
               $U20/12,
               1
      ))),0),
    ROUNDDOWN(
      Z20*IF(Z20*$I20&lt;=$L20,$J20,$I20)*
      IF($P20=1,
         $S20/12,
         IF(Z$4=1,
            $T20/12,
            IF(Z$4=$P20,
               $U20/12,
               1
      ))),0),
    ROUND(
      Z20*IF(Z20*$I20&lt;=$L20,$J20,$I20)*
      IF($P20=1,
         $S20/12,
         IF(Z$4=1,
            $T20/12,
            IF(Z$4=$P20,
               $U20/12,
               1
      ))),0)
))))</f>
        <v>-</v>
      </c>
      <c r="AB20" s="56" t="str">
        <f ca="1">IF($H20=リスト!$AA$4,"-",
   IF($C20="-","-",
     IF(AB$4&gt;$P20,"-",
       IF(AB$4=1,$E20,OFFSET(AB20,0,-2)-OFFSET(AB20,0,-1)
))))</f>
        <v>-</v>
      </c>
      <c r="AC20" s="57" t="str">
        <f>IF($H20=リスト!$AA$4,"-",
 IF($C20="-","-",
  IF(AB$4&gt;$P20,"-",
   CHOOSE(MATCH($H$3,リスト!$AE$3:$AE$5,0),
    ROUNDUP(
      AB20*IF(AB20*$I20&lt;=$L20,$J20,$I20)*
      IF($P20=1,
         $S20/12,
         IF(AB$4=1,
            $T20/12,
            IF(AB$4=$P20,
               $U20/12,
               1
      ))),0),
    ROUNDDOWN(
      AB20*IF(AB20*$I20&lt;=$L20,$J20,$I20)*
      IF($P20=1,
         $S20/12,
         IF(AB$4=1,
            $T20/12,
            IF(AB$4=$P20,
               $U20/12,
               1
      ))),0),
    ROUND(
      AB20*IF(AB20*$I20&lt;=$L20,$J20,$I20)*
      IF($P20=1,
         $S20/12,
         IF(AB$4=1,
            $T20/12,
            IF(AB$4=$P20,
               $U20/12,
               1
      ))),0)
))))</f>
        <v>-</v>
      </c>
      <c r="AD20" s="56" t="str">
        <f ca="1">IF($H20=リスト!$AA$4,"-",
   IF($C20="-","-",
     IF(AD$4&gt;$P20,"-",
       IF(AD$4=1,$E20,OFFSET(AD20,0,-2)-OFFSET(AD20,0,-1)
))))</f>
        <v>-</v>
      </c>
      <c r="AE20" s="57" t="str">
        <f>IF($H20=リスト!$AA$4,"-",
 IF($C20="-","-",
  IF(AD$4&gt;$P20,"-",
   CHOOSE(MATCH($H$3,リスト!$AE$3:$AE$5,0),
    ROUNDUP(
      AD20*IF(AD20*$I20&lt;=$L20,$J20,$I20)*
      IF($P20=1,
         $S20/12,
         IF(AD$4=1,
            $T20/12,
            IF(AD$4=$P20,
               $U20/12,
               1
      ))),0),
    ROUNDDOWN(
      AD20*IF(AD20*$I20&lt;=$L20,$J20,$I20)*
      IF($P20=1,
         $S20/12,
         IF(AD$4=1,
            $T20/12,
            IF(AD$4=$P20,
               $U20/12,
               1
      ))),0),
    ROUND(
      AD20*IF(AD20*$I20&lt;=$L20,$J20,$I20)*
      IF($P20=1,
         $S20/12,
         IF(AD$4=1,
            $T20/12,
            IF(AD$4=$P20,
               $U20/12,
               1
      ))),0)
))))</f>
        <v>-</v>
      </c>
      <c r="AF20" s="56" t="str">
        <f ca="1">IF($H20=リスト!$AA$4,"-",
   IF($C20="-","-",
     IF(AF$4&gt;$P20,"-",
       IF(AF$4=1,$E20,OFFSET(AF20,0,-2)-OFFSET(AF20,0,-1)
))))</f>
        <v>-</v>
      </c>
      <c r="AG20" s="57" t="str">
        <f>IF($H20=リスト!$AA$4,"-",
 IF($C20="-","-",
  IF(AF$4&gt;$P20,"-",
   CHOOSE(MATCH($H$3,リスト!$AE$3:$AE$5,0),
    ROUNDUP(
      AF20*IF(AF20*$I20&lt;=$L20,$J20,$I20)*
      IF($P20=1,
         $S20/12,
         IF(AF$4=1,
            $T20/12,
            IF(AF$4=$P20,
               $U20/12,
               1
      ))),0),
    ROUNDDOWN(
      AF20*IF(AF20*$I20&lt;=$L20,$J20,$I20)*
      IF($P20=1,
         $S20/12,
         IF(AF$4=1,
            $T20/12,
            IF(AF$4=$P20,
               $U20/12,
               1
      ))),0),
    ROUND(
      AF20*IF(AF20*$I20&lt;=$L20,$J20,$I20)*
      IF($P20=1,
         $S20/12,
         IF(AF$4=1,
            $T20/12,
            IF(AF$4=$P20,
               $U20/12,
               1
      ))),0)
))))</f>
        <v>-</v>
      </c>
      <c r="AH20" s="56" t="str">
        <f ca="1">IF($H20=リスト!$AA$4,"-",
   IF($C20="-","-",
     IF(AH$4&gt;$P20,"-",
       IF(AH$4=1,$E20,OFFSET(AH20,0,-2)-OFFSET(AH20,0,-1)
))))</f>
        <v>-</v>
      </c>
      <c r="AI20" s="57" t="str">
        <f>IF($H20=リスト!$AA$4,"-",
 IF($C20="-","-",
  IF(AH$4&gt;$P20,"-",
   CHOOSE(MATCH($H$3,リスト!$AE$3:$AE$5,0),
    ROUNDUP(
      AH20*IF(AH20*$I20&lt;=$L20,$J20,$I20)*
      IF($P20=1,
         $S20/12,
         IF(AH$4=1,
            $T20/12,
            IF(AH$4=$P20,
               $U20/12,
               1
      ))),0),
    ROUNDDOWN(
      AH20*IF(AH20*$I20&lt;=$L20,$J20,$I20)*
      IF($P20=1,
         $S20/12,
         IF(AH$4=1,
            $T20/12,
            IF(AH$4=$P20,
               $U20/12,
               1
      ))),0),
    ROUND(
      AH20*IF(AH20*$I20&lt;=$L20,$J20,$I20)*
      IF($P20=1,
         $S20/12,
         IF(AH$4=1,
            $T20/12,
            IF(AH$4=$P20,
               $U20/12,
               1
      ))),0)
))))</f>
        <v>-</v>
      </c>
      <c r="AJ20" s="56" t="str">
        <f ca="1">IF($H20=リスト!$AA$4,"-",
   IF($C20="-","-",
     IF(AJ$4&gt;$P20,"-",
       IF(AJ$4=1,$E20,OFFSET(AJ20,0,-2)-OFFSET(AJ20,0,-1)
))))</f>
        <v>-</v>
      </c>
      <c r="AK20" s="57" t="str">
        <f>IF($H20=リスト!$AA$4,"-",
 IF($C20="-","-",
  IF(AJ$4&gt;$P20,"-",
   CHOOSE(MATCH($H$3,リスト!$AE$3:$AE$5,0),
    ROUNDUP(
      AJ20*IF(AJ20*$I20&lt;=$L20,$J20,$I20)*
      IF($P20=1,
         $S20/12,
         IF(AJ$4=1,
            $T20/12,
            IF(AJ$4=$P20,
               $U20/12,
               1
      ))),0),
    ROUNDDOWN(
      AJ20*IF(AJ20*$I20&lt;=$L20,$J20,$I20)*
      IF($P20=1,
         $S20/12,
         IF(AJ$4=1,
            $T20/12,
            IF(AJ$4=$P20,
               $U20/12,
               1
      ))),0),
    ROUND(
      AJ20*IF(AJ20*$I20&lt;=$L20,$J20,$I20)*
      IF($P20=1,
         $S20/12,
         IF(AJ$4=1,
            $T20/12,
            IF(AJ$4=$P20,
               $U20/12,
               1
      ))),0)
))))</f>
        <v>-</v>
      </c>
      <c r="AL20" s="56" t="str">
        <f ca="1">IF($H20=リスト!$AA$4,"-",
   IF($C20="-","-",
     IF(AL$4&gt;$P20,"-",
       IF(AL$4=1,$E20,OFFSET(AL20,0,-2)-OFFSET(AL20,0,-1)
))))</f>
        <v>-</v>
      </c>
      <c r="AM20" s="57" t="str">
        <f>IF($H20=リスト!$AA$4,"-",
 IF($C20="-","-",
  IF(AL$4&gt;$P20,"-",
   CHOOSE(MATCH($H$3,リスト!$AE$3:$AE$5,0),
    ROUNDUP(
      AL20*IF(AL20*$I20&lt;=$L20,$J20,$I20)*
      IF($P20=1,
         $S20/12,
         IF(AL$4=1,
            $T20/12,
            IF(AL$4=$P20,
               $U20/12,
               1
      ))),0),
    ROUNDDOWN(
      AL20*IF(AL20*$I20&lt;=$L20,$J20,$I20)*
      IF($P20=1,
         $S20/12,
         IF(AL$4=1,
            $T20/12,
            IF(AL$4=$P20,
               $U20/12,
               1
      ))),0),
    ROUND(
      AL20*IF(AL20*$I20&lt;=$L20,$J20,$I20)*
      IF($P20=1,
         $S20/12,
         IF(AL$4=1,
            $T20/12,
            IF(AL$4=$P20,
               $U20/12,
               1
      ))),0)
))))</f>
        <v>-</v>
      </c>
      <c r="AN20" s="56" t="str">
        <f ca="1">IF($H20=リスト!$AA$4,"-",
   IF($C20="-","-",
     IF(AN$4&gt;$P20,"-",
       IF(AN$4=1,$E20,OFFSET(AN20,0,-2)-OFFSET(AN20,0,-1)
))))</f>
        <v>-</v>
      </c>
      <c r="AO20" s="57" t="str">
        <f>IF($H20=リスト!$AA$4,"-",
 IF($C20="-","-",
  IF(AN$4&gt;$P20,"-",
   CHOOSE(MATCH($H$3,リスト!$AE$3:$AE$5,0),
    ROUNDUP(
      AN20*IF(AN20*$I20&lt;=$L20,$J20,$I20)*
      IF($P20=1,
         $S20/12,
         IF(AN$4=1,
            $T20/12,
            IF(AN$4=$P20,
               $U20/12,
               1
      ))),0),
    ROUNDDOWN(
      AN20*IF(AN20*$I20&lt;=$L20,$J20,$I20)*
      IF($P20=1,
         $S20/12,
         IF(AN$4=1,
            $T20/12,
            IF(AN$4=$P20,
               $U20/12,
               1
      ))),0),
    ROUND(
      AN20*IF(AN20*$I20&lt;=$L20,$J20,$I20)*
      IF($P20=1,
         $S20/12,
         IF(AN$4=1,
            $T20/12,
            IF(AN$4=$P20,
               $U20/12,
               1
      ))),0)
))))</f>
        <v>-</v>
      </c>
      <c r="AP20" s="56" t="str">
        <f ca="1">IF($H20=リスト!$AA$4,"-",
   IF($C20="-","-",
     IF(AP$4&gt;$P20,"-",
       IF(AP$4=1,$E20,OFFSET(AP20,0,-2)-OFFSET(AP20,0,-1)
))))</f>
        <v>-</v>
      </c>
      <c r="AQ20" s="57" t="str">
        <f>IF($H20=リスト!$AA$4,"-",
 IF($C20="-","-",
  IF(AP$4&gt;$P20,"-",
   CHOOSE(MATCH($H$3,リスト!$AE$3:$AE$5,0),
    ROUNDUP(
      AP20*IF(AP20*$I20&lt;=$L20,$J20,$I20)*
      IF($P20=1,
         $S20/12,
         IF(AP$4=1,
            $T20/12,
            IF(AP$4=$P20,
               $U20/12,
               1
      ))),0),
    ROUNDDOWN(
      AP20*IF(AP20*$I20&lt;=$L20,$J20,$I20)*
      IF($P20=1,
         $S20/12,
         IF(AP$4=1,
            $T20/12,
            IF(AP$4=$P20,
               $U20/12,
               1
      ))),0),
    ROUND(
      AP20*IF(AP20*$I20&lt;=$L20,$J20,$I20)*
      IF($P20=1,
         $S20/12,
         IF(AP$4=1,
            $T20/12,
            IF(AP$4=$P20,
               $U20/12,
               1
      ))),0)
))))</f>
        <v>-</v>
      </c>
      <c r="AR20" s="56" t="str">
        <f ca="1">IF($H20=リスト!$AA$4,"-",
   IF($C20="-","-",
     IF(AR$4&gt;$P20,"-",
       IF(AR$4=1,$E20,OFFSET(AR20,0,-2)-OFFSET(AR20,0,-1)
))))</f>
        <v>-</v>
      </c>
      <c r="AS20" s="57" t="str">
        <f>IF($H20=リスト!$AA$4,"-",
 IF($C20="-","-",
  IF(AR$4&gt;$P20,"-",
   CHOOSE(MATCH($H$3,リスト!$AE$3:$AE$5,0),
    ROUNDUP(
      AR20*IF(AR20*$I20&lt;=$L20,$J20,$I20)*
      IF($P20=1,
         $S20/12,
         IF(AR$4=1,
            $T20/12,
            IF(AR$4=$P20,
               $U20/12,
               1
      ))),0),
    ROUNDDOWN(
      AR20*IF(AR20*$I20&lt;=$L20,$J20,$I20)*
      IF($P20=1,
         $S20/12,
         IF(AR$4=1,
            $T20/12,
            IF(AR$4=$P20,
               $U20/12,
               1
      ))),0),
    ROUND(
      AR20*IF(AR20*$I20&lt;=$L20,$J20,$I20)*
      IF($P20=1,
         $S20/12,
         IF(AR$4=1,
            $T20/12,
            IF(AR$4=$P20,
               $U20/12,
               1
      ))),0)
))))</f>
        <v>-</v>
      </c>
      <c r="AT20" s="56" t="str">
        <f ca="1">IF($H20=リスト!$AA$4,"-",
   IF($C20="-","-",
     IF(AT$4&gt;$P20,"-",
       IF(AT$4=1,$E20,OFFSET(AT20,0,-2)-OFFSET(AT20,0,-1)
))))</f>
        <v>-</v>
      </c>
      <c r="AU20" s="57" t="str">
        <f>IF($H20=リスト!$AA$4,"-",
 IF($C20="-","-",
  IF(AT$4&gt;$P20,"-",
   CHOOSE(MATCH($H$3,リスト!$AE$3:$AE$5,0),
    ROUNDUP(
      AT20*IF(AT20*$I20&lt;=$L20,$J20,$I20)*
      IF($P20=1,
         $S20/12,
         IF(AT$4=1,
            $T20/12,
            IF(AT$4=$P20,
               $U20/12,
               1
      ))),0),
    ROUNDDOWN(
      AT20*IF(AT20*$I20&lt;=$L20,$J20,$I20)*
      IF($P20=1,
         $S20/12,
         IF(AT$4=1,
            $T20/12,
            IF(AT$4=$P20,
               $U20/12,
               1
      ))),0),
    ROUND(
      AT20*IF(AT20*$I20&lt;=$L20,$J20,$I20)*
      IF($P20=1,
         $S20/12,
         IF(AT$4=1,
            $T20/12,
            IF(AT$4=$P20,
               $U20/12,
               1
      ))),0)
))))</f>
        <v>-</v>
      </c>
      <c r="AV20" s="56" t="str">
        <f ca="1">IF($H20=リスト!$AA$4,"-",
   IF($C20="-","-",
     IF(AV$4&gt;$P20,"-",
       IF(AV$4=1,$E20,OFFSET(AV20,0,-2)-OFFSET(AV20,0,-1)
))))</f>
        <v>-</v>
      </c>
      <c r="AW20" s="57" t="str">
        <f>IF($H20=リスト!$AA$4,"-",
 IF($C20="-","-",
  IF(AV$4&gt;$P20,"-",
   CHOOSE(MATCH($H$3,リスト!$AE$3:$AE$5,0),
    ROUNDUP(
      AV20*IF(AV20*$I20&lt;=$L20,$J20,$I20)*
      IF($P20=1,
         $S20/12,
         IF(AV$4=1,
            $T20/12,
            IF(AV$4=$P20,
               $U20/12,
               1
      ))),0),
    ROUNDDOWN(
      AV20*IF(AV20*$I20&lt;=$L20,$J20,$I20)*
      IF($P20=1,
         $S20/12,
         IF(AV$4=1,
            $T20/12,
            IF(AV$4=$P20,
               $U20/12,
               1
      ))),0),
    ROUND(
      AV20*IF(AV20*$I20&lt;=$L20,$J20,$I20)*
      IF($P20=1,
         $S20/12,
         IF(AV$4=1,
            $T20/12,
            IF(AV$4=$P20,
               $U20/12,
               1
      ))),0)
))))</f>
        <v>-</v>
      </c>
      <c r="AX20" s="56" t="str">
        <f ca="1">IF($H20=リスト!$AA$4,"-",
   IF($C20="-","-",
     IF(AX$4&gt;$P20,"-",
       IF(AX$4=1,$E20,OFFSET(AX20,0,-2)-OFFSET(AX20,0,-1)
))))</f>
        <v>-</v>
      </c>
      <c r="AY20" s="57" t="str">
        <f>IF($H20=リスト!$AA$4,"-",
 IF($C20="-","-",
  IF(AX$4&gt;$P20,"-",
   CHOOSE(MATCH($H$3,リスト!$AE$3:$AE$5,0),
    ROUNDUP(
      AX20*IF(AX20*$I20&lt;=$L20,$J20,$I20)*
      IF($P20=1,
         $S20/12,
         IF(AX$4=1,
            $T20/12,
            IF(AX$4=$P20,
               $U20/12,
               1
      ))),0),
    ROUNDDOWN(
      AX20*IF(AX20*$I20&lt;=$L20,$J20,$I20)*
      IF($P20=1,
         $S20/12,
         IF(AX$4=1,
            $T20/12,
            IF(AX$4=$P20,
               $U20/12,
               1
      ))),0),
    ROUND(
      AX20*IF(AX20*$I20&lt;=$L20,$J20,$I20)*
      IF($P20=1,
         $S20/12,
         IF(AX$4=1,
            $T20/12,
            IF(AX$4=$P20,
               $U20/12,
               1
      ))),0)
))))</f>
        <v>-</v>
      </c>
      <c r="AZ20" s="56" t="str">
        <f ca="1">IF($H20=リスト!$AA$4,"-",
   IF($C20="-","-",
     IF(AZ$4&gt;$P20,"-",
       IF(AZ$4=1,$E20,OFFSET(AZ20,0,-2)-OFFSET(AZ20,0,-1)
))))</f>
        <v>-</v>
      </c>
      <c r="BA20" s="57" t="str">
        <f>IF($H20=リスト!$AA$4,"-",
 IF($C20="-","-",
  IF(AZ$4&gt;$P20,"-",
   CHOOSE(MATCH($H$3,リスト!$AE$3:$AE$5,0),
    ROUNDUP(
      AZ20*IF(AZ20*$I20&lt;=$L20,$J20,$I20)*
      IF($P20=1,
         $S20/12,
         IF(AZ$4=1,
            $T20/12,
            IF(AZ$4=$P20,
               $U20/12,
               1
      ))),0),
    ROUNDDOWN(
      AZ20*IF(AZ20*$I20&lt;=$L20,$J20,$I20)*
      IF($P20=1,
         $S20/12,
         IF(AZ$4=1,
            $T20/12,
            IF(AZ$4=$P20,
               $U20/12,
               1
      ))),0),
    ROUND(
      AZ20*IF(AZ20*$I20&lt;=$L20,$J20,$I20)*
      IF($P20=1,
         $S20/12,
         IF(AZ$4=1,
            $T20/12,
            IF(AZ$4=$P20,
               $U20/12,
               1
      ))),0)
))))</f>
        <v>-</v>
      </c>
      <c r="BB20" s="56" t="str">
        <f ca="1">IF($H20=リスト!$AA$4,"-",
   IF($C20="-","-",
     IF(BB$4&gt;$P20,"-",
       IF(BB$4=1,$E20,OFFSET(BB20,0,-2)-OFFSET(BB20,0,-1)
))))</f>
        <v>-</v>
      </c>
      <c r="BC20" s="57" t="str">
        <f>IF($H20=リスト!$AA$4,"-",
 IF($C20="-","-",
  IF(BB$4&gt;$P20,"-",
   CHOOSE(MATCH($H$3,リスト!$AE$3:$AE$5,0),
    ROUNDUP(
      BB20*IF(BB20*$I20&lt;=$L20,$J20,$I20)*
      IF($P20=1,
         $S20/12,
         IF(BB$4=1,
            $T20/12,
            IF(BB$4=$P20,
               $U20/12,
               1
      ))),0),
    ROUNDDOWN(
      BB20*IF(BB20*$I20&lt;=$L20,$J20,$I20)*
      IF($P20=1,
         $S20/12,
         IF(BB$4=1,
            $T20/12,
            IF(BB$4=$P20,
               $U20/12,
               1
      ))),0),
    ROUND(
      BB20*IF(BB20*$I20&lt;=$L20,$J20,$I20)*
      IF($P20=1,
         $S20/12,
         IF(BB$4=1,
            $T20/12,
            IF(BB$4=$P20,
               $U20/12,
               1
      ))),0)
))))</f>
        <v>-</v>
      </c>
      <c r="BD20" s="56" t="str">
        <f ca="1">IF($H20=リスト!$AA$4,"-",
   IF($C20="-","-",
     IF(BD$4&gt;$P20,"-",
       IF(BD$4=1,$E20,OFFSET(BD20,0,-2)-OFFSET(BD20,0,-1)
))))</f>
        <v>-</v>
      </c>
      <c r="BE20" s="57" t="str">
        <f>IF($H20=リスト!$AA$4,"-",
 IF($C20="-","-",
  IF(BD$4&gt;$P20,"-",
   CHOOSE(MATCH($H$3,リスト!$AE$3:$AE$5,0),
    ROUNDUP(
      BD20*IF(BD20*$I20&lt;=$L20,$J20,$I20)*
      IF($P20=1,
         $S20/12,
         IF(BD$4=1,
            $T20/12,
            IF(BD$4=$P20,
               $U20/12,
               1
      ))),0),
    ROUNDDOWN(
      BD20*IF(BD20*$I20&lt;=$L20,$J20,$I20)*
      IF($P20=1,
         $S20/12,
         IF(BD$4=1,
            $T20/12,
            IF(BD$4=$P20,
               $U20/12,
               1
      ))),0),
    ROUND(
      BD20*IF(BD20*$I20&lt;=$L20,$J20,$I20)*
      IF($P20=1,
         $S20/12,
         IF(BD$4=1,
            $T20/12,
            IF(BD$4=$P20,
               $U20/12,
               1
      ))),0)
))))</f>
        <v>-</v>
      </c>
      <c r="BF20" s="56" t="str">
        <f ca="1">IF($H20=リスト!$AA$4,"-",
   IF($C20="-","-",
     IF(BF$4&gt;$P20,"-",
       IF(BF$4=1,$E20,OFFSET(BF20,0,-2)-OFFSET(BF20,0,-1)
))))</f>
        <v>-</v>
      </c>
      <c r="BG20" s="57" t="str">
        <f>IF($H20=リスト!$AA$4,"-",
 IF($C20="-","-",
  IF(BF$4&gt;$P20,"-",
   CHOOSE(MATCH($H$3,リスト!$AE$3:$AE$5,0),
    ROUNDUP(
      BF20*IF(BF20*$I20&lt;=$L20,$J20,$I20)*
      IF($P20=1,
         $S20/12,
         IF(BF$4=1,
            $T20/12,
            IF(BF$4=$P20,
               $U20/12,
               1
      ))),0),
    ROUNDDOWN(
      BF20*IF(BF20*$I20&lt;=$L20,$J20,$I20)*
      IF($P20=1,
         $S20/12,
         IF(BF$4=1,
            $T20/12,
            IF(BF$4=$P20,
               $U20/12,
               1
      ))),0),
    ROUND(
      BF20*IF(BF20*$I20&lt;=$L20,$J20,$I20)*
      IF($P20=1,
         $S20/12,
         IF(BF$4=1,
            $T20/12,
            IF(BF$4=$P20,
               $U20/12,
               1
      ))),0)
))))</f>
        <v>-</v>
      </c>
      <c r="BH20" s="56" t="str">
        <f ca="1">IF($H20=リスト!$AA$4,"-",
   IF($C20="-","-",
     IF(BH$4&gt;$P20,"-",
       IF(BH$4=1,$E20,OFFSET(BH20,0,-2)-OFFSET(BH20,0,-1)
))))</f>
        <v>-</v>
      </c>
      <c r="BI20" s="57" t="str">
        <f>IF($H20=リスト!$AA$4,"-",
 IF($C20="-","-",
  IF(BH$4&gt;$P20,"-",
   CHOOSE(MATCH($H$3,リスト!$AE$3:$AE$5,0),
    ROUNDUP(
      BH20*IF(BH20*$I20&lt;=$L20,$J20,$I20)*
      IF($P20=1,
         $S20/12,
         IF(BH$4=1,
            $T20/12,
            IF(BH$4=$P20,
               $U20/12,
               1
      ))),0),
    ROUNDDOWN(
      BH20*IF(BH20*$I20&lt;=$L20,$J20,$I20)*
      IF($P20=1,
         $S20/12,
         IF(BH$4=1,
            $T20/12,
            IF(BH$4=$P20,
               $U20/12,
               1
      ))),0),
    ROUND(
      BH20*IF(BH20*$I20&lt;=$L20,$J20,$I20)*
      IF($P20=1,
         $S20/12,
         IF(BH$4=1,
            $T20/12,
            IF(BH$4=$P20,
               $U20/12,
               1
      ))),0)
))))</f>
        <v>-</v>
      </c>
      <c r="BJ20" s="56" t="str">
        <f ca="1">IF($H20=リスト!$AA$4,"-",
   IF($C20="-","-",
     IF(BJ$4&gt;$P20,"-",
       IF(BJ$4=1,$E20,OFFSET(BJ20,0,-2)-OFFSET(BJ20,0,-1)
))))</f>
        <v>-</v>
      </c>
      <c r="BK20" s="57" t="str">
        <f>IF($H20=リスト!$AA$4,"-",
 IF($C20="-","-",
  IF(BJ$4&gt;$P20,"-",
   CHOOSE(MATCH($H$3,リスト!$AE$3:$AE$5,0),
    ROUNDUP(
      BJ20*IF(BJ20*$I20&lt;=$L20,$J20,$I20)*
      IF($P20=1,
         $S20/12,
         IF(BJ$4=1,
            $T20/12,
            IF(BJ$4=$P20,
               $U20/12,
               1
      ))),0),
    ROUNDDOWN(
      BJ20*IF(BJ20*$I20&lt;=$L20,$J20,$I20)*
      IF($P20=1,
         $S20/12,
         IF(BJ$4=1,
            $T20/12,
            IF(BJ$4=$P20,
               $U20/12,
               1
      ))),0),
    ROUND(
      BJ20*IF(BJ20*$I20&lt;=$L20,$J20,$I20)*
      IF($P20=1,
         $S20/12,
         IF(BJ$4=1,
            $T20/12,
            IF(BJ$4=$P20,
               $U20/12,
               1
      ))),0)
))))</f>
        <v>-</v>
      </c>
      <c r="BL20" s="56" t="str">
        <f ca="1">IF($H20=リスト!$AA$4,"-",
   IF($C20="-","-",
     IF(BL$4&gt;$P20,"-",
       IF(BL$4=1,$E20,OFFSET(BL20,0,-2)-OFFSET(BL20,0,-1)
))))</f>
        <v>-</v>
      </c>
      <c r="BM20" s="57" t="str">
        <f>IF($H20=リスト!$AA$4,"-",
 IF($C20="-","-",
  IF(BL$4&gt;$P20,"-",
   CHOOSE(MATCH($H$3,リスト!$AE$3:$AE$5,0),
    ROUNDUP(
      BL20*IF(BL20*$I20&lt;=$L20,$J20,$I20)*
      IF($P20=1,
         $S20/12,
         IF(BL$4=1,
            $T20/12,
            IF(BL$4=$P20,
               $U20/12,
               1
      ))),0),
    ROUNDDOWN(
      BL20*IF(BL20*$I20&lt;=$L20,$J20,$I20)*
      IF($P20=1,
         $S20/12,
         IF(BL$4=1,
            $T20/12,
            IF(BL$4=$P20,
               $U20/12,
               1
      ))),0),
    ROUND(
      BL20*IF(BL20*$I20&lt;=$L20,$J20,$I20)*
      IF($P20=1,
         $S20/12,
         IF(BL$4=1,
            $T20/12,
            IF(BL$4=$P20,
               $U20/12,
               1
      ))),0)
))))</f>
        <v>-</v>
      </c>
      <c r="BN20" s="56" t="str">
        <f ca="1">IF($H20=リスト!$AA$4,"-",
   IF($C20="-","-",
     IF(BN$4&gt;$P20,"-",
       IF(BN$4=1,$E20,OFFSET(BN20,0,-2)-OFFSET(BN20,0,-1)
))))</f>
        <v>-</v>
      </c>
      <c r="BO20" s="57" t="str">
        <f>IF($H20=リスト!$AA$4,"-",
 IF($C20="-","-",
  IF(BN$4&gt;$P20,"-",
   CHOOSE(MATCH($H$3,リスト!$AE$3:$AE$5,0),
    ROUNDUP(
      BN20*IF(BN20*$I20&lt;=$L20,$J20,$I20)*
      IF($P20=1,
         $S20/12,
         IF(BN$4=1,
            $T20/12,
            IF(BN$4=$P20,
               $U20/12,
               1
      ))),0),
    ROUNDDOWN(
      BN20*IF(BN20*$I20&lt;=$L20,$J20,$I20)*
      IF($P20=1,
         $S20/12,
         IF(BN$4=1,
            $T20/12,
            IF(BN$4=$P20,
               $U20/12,
               1
      ))),0),
    ROUND(
      BN20*IF(BN20*$I20&lt;=$L20,$J20,$I20)*
      IF($P20=1,
         $S20/12,
         IF(BN$4=1,
            $T20/12,
            IF(BN$4=$P20,
               $U20/12,
               1
      ))),0)
))))</f>
        <v>-</v>
      </c>
      <c r="BP20" s="56" t="str">
        <f ca="1">IF($H20=リスト!$AA$4,"-",
   IF($C20="-","-",
     IF(BP$4&gt;$P20,"-",
       IF(BP$4=1,$E20,OFFSET(BP20,0,-2)-OFFSET(BP20,0,-1)
))))</f>
        <v>-</v>
      </c>
      <c r="BQ20" s="57" t="str">
        <f>IF($H20=リスト!$AA$4,"-",
 IF($C20="-","-",
  IF(BP$4&gt;$P20,"-",
   CHOOSE(MATCH($H$3,リスト!$AE$3:$AE$5,0),
    ROUNDUP(
      BP20*IF(BP20*$I20&lt;=$L20,$J20,$I20)*
      IF($P20=1,
         $S20/12,
         IF(BP$4=1,
            $T20/12,
            IF(BP$4=$P20,
               $U20/12,
               1
      ))),0),
    ROUNDDOWN(
      BP20*IF(BP20*$I20&lt;=$L20,$J20,$I20)*
      IF($P20=1,
         $S20/12,
         IF(BP$4=1,
            $T20/12,
            IF(BP$4=$P20,
               $U20/12,
               1
      ))),0),
    ROUND(
      BP20*IF(BP20*$I20&lt;=$L20,$J20,$I20)*
      IF($P20=1,
         $S20/12,
         IF(BP$4=1,
            $T20/12,
            IF(BP$4=$P20,
               $U20/12,
               1
      ))),0)
))))</f>
        <v>-</v>
      </c>
      <c r="BR20" s="56" t="str">
        <f ca="1">IF($H20=リスト!$AA$4,"-",
   IF($C20="-","-",
     IF(BR$4&gt;$P20,"-",
       IF(BR$4=1,$E20,OFFSET(BR20,0,-2)-OFFSET(BR20,0,-1)
))))</f>
        <v>-</v>
      </c>
      <c r="BS20" s="57" t="str">
        <f>IF($H20=リスト!$AA$4,"-",
 IF($C20="-","-",
  IF(BR$4&gt;$P20,"-",
   CHOOSE(MATCH($H$3,リスト!$AE$3:$AE$5,0),
    ROUNDUP(
      BR20*IF(BR20*$I20&lt;=$L20,$J20,$I20)*
      IF($P20=1,
         $S20/12,
         IF(BR$4=1,
            $T20/12,
            IF(BR$4=$P20,
               $U20/12,
               1
      ))),0),
    ROUNDDOWN(
      BR20*IF(BR20*$I20&lt;=$L20,$J20,$I20)*
      IF($P20=1,
         $S20/12,
         IF(BR$4=1,
            $T20/12,
            IF(BR$4=$P20,
               $U20/12,
               1
      ))),0),
    ROUND(
      BR20*IF(BR20*$I20&lt;=$L20,$J20,$I20)*
      IF($P20=1,
         $S20/12,
         IF(BR$4=1,
            $T20/12,
            IF(BR$4=$P20,
               $U20/12,
               1
      ))),0)
))))</f>
        <v>-</v>
      </c>
      <c r="BT20" s="56" t="str">
        <f ca="1">IF($H20=リスト!$AA$4,"-",
   IF($C20="-","-",
     IF(BT$4&gt;$P20,"-",
       IF(BT$4=1,$E20,OFFSET(BT20,0,-2)-OFFSET(BT20,0,-1)
))))</f>
        <v>-</v>
      </c>
      <c r="BU20" s="57" t="str">
        <f>IF($H20=リスト!$AA$4,"-",
 IF($C20="-","-",
  IF(BT$4&gt;$P20,"-",
   CHOOSE(MATCH($H$3,リスト!$AE$3:$AE$5,0),
    ROUNDUP(
      BT20*IF(BT20*$I20&lt;=$L20,$J20,$I20)*
      IF($P20=1,
         $S20/12,
         IF(BT$4=1,
            $T20/12,
            IF(BT$4=$P20,
               $U20/12,
               1
      ))),0),
    ROUNDDOWN(
      BT20*IF(BT20*$I20&lt;=$L20,$J20,$I20)*
      IF($P20=1,
         $S20/12,
         IF(BT$4=1,
            $T20/12,
            IF(BT$4=$P20,
               $U20/12,
               1
      ))),0),
    ROUND(
      BT20*IF(BT20*$I20&lt;=$L20,$J20,$I20)*
      IF($P20=1,
         $S20/12,
         IF(BT$4=1,
            $T20/12,
            IF(BT$4=$P20,
               $U20/12,
               1
      ))),0)
))))</f>
        <v>-</v>
      </c>
      <c r="BV20" s="56" t="str">
        <f ca="1">IF($H20=リスト!$AA$4,"-",
   IF($C20="-","-",
     IF(BV$4&gt;$P20,"-",
       IF(BV$4=1,$E20,OFFSET(BV20,0,-2)-OFFSET(BV20,0,-1)
))))</f>
        <v>-</v>
      </c>
      <c r="BW20" s="57" t="str">
        <f>IF($H20=リスト!$AA$4,"-",
 IF($C20="-","-",
  IF(BV$4&gt;$P20,"-",
   CHOOSE(MATCH($H$3,リスト!$AE$3:$AE$5,0),
    ROUNDUP(
      BV20*IF(BV20*$I20&lt;=$L20,$J20,$I20)*
      IF($P20=1,
         $S20/12,
         IF(BV$4=1,
            $T20/12,
            IF(BV$4=$P20,
               $U20/12,
               1
      ))),0),
    ROUNDDOWN(
      BV20*IF(BV20*$I20&lt;=$L20,$J20,$I20)*
      IF($P20=1,
         $S20/12,
         IF(BV$4=1,
            $T20/12,
            IF(BV$4=$P20,
               $U20/12,
               1
      ))),0),
    ROUND(
      BV20*IF(BV20*$I20&lt;=$L20,$J20,$I20)*
      IF($P20=1,
         $S20/12,
         IF(BV$4=1,
            $T20/12,
            IF(BV$4=$P20,
               $U20/12,
               1
      ))),0)
))))</f>
        <v>-</v>
      </c>
      <c r="BX20" s="56" t="str">
        <f ca="1">IF($H20=リスト!$AA$4,"-",
   IF($C20="-","-",
     IF(BX$4&gt;$P20,"-",
       IF(BX$4=1,$E20,OFFSET(BX20,0,-2)-OFFSET(BX20,0,-1)
))))</f>
        <v>-</v>
      </c>
      <c r="BY20" s="57" t="str">
        <f>IF($H20=リスト!$AA$4,"-",
 IF($C20="-","-",
  IF(BX$4&gt;$P20,"-",
   CHOOSE(MATCH($H$3,リスト!$AE$3:$AE$5,0),
    ROUNDUP(
      BX20*IF(BX20*$I20&lt;=$L20,$J20,$I20)*
      IF($P20=1,
         $S20/12,
         IF(BX$4=1,
            $T20/12,
            IF(BX$4=$P20,
               $U20/12,
               1
      ))),0),
    ROUNDDOWN(
      BX20*IF(BX20*$I20&lt;=$L20,$J20,$I20)*
      IF($P20=1,
         $S20/12,
         IF(BX$4=1,
            $T20/12,
            IF(BX$4=$P20,
               $U20/12,
               1
      ))),0),
    ROUND(
      BX20*IF(BX20*$I20&lt;=$L20,$J20,$I20)*
      IF($P20=1,
         $S20/12,
         IF(BX$4=1,
            $T20/12,
            IF(BX$4=$P20,
               $U20/12,
               1
      ))),0)
))))</f>
        <v>-</v>
      </c>
      <c r="BZ20" s="56" t="str">
        <f ca="1">IF($H20=リスト!$AA$4,"-",
   IF($C20="-","-",
     IF(BZ$4&gt;$P20,"-",
       IF(BZ$4=1,$E20,OFFSET(BZ20,0,-2)-OFFSET(BZ20,0,-1)
))))</f>
        <v>-</v>
      </c>
      <c r="CA20" s="57" t="str">
        <f>IF($H20=リスト!$AA$4,"-",
 IF($C20="-","-",
  IF(BZ$4&gt;$P20,"-",
   CHOOSE(MATCH($H$3,リスト!$AE$3:$AE$5,0),
    ROUNDUP(
      BZ20*IF(BZ20*$I20&lt;=$L20,$J20,$I20)*
      IF($P20=1,
         $S20/12,
         IF(BZ$4=1,
            $T20/12,
            IF(BZ$4=$P20,
               $U20/12,
               1
      ))),0),
    ROUNDDOWN(
      BZ20*IF(BZ20*$I20&lt;=$L20,$J20,$I20)*
      IF($P20=1,
         $S20/12,
         IF(BZ$4=1,
            $T20/12,
            IF(BZ$4=$P20,
               $U20/12,
               1
      ))),0),
    ROUND(
      BZ20*IF(BZ20*$I20&lt;=$L20,$J20,$I20)*
      IF($P20=1,
         $S20/12,
         IF(BZ$4=1,
            $T20/12,
            IF(BZ$4=$P20,
               $U20/12,
               1
      ))),0)
))))</f>
        <v>-</v>
      </c>
      <c r="CB20" s="56" t="str">
        <f ca="1">IF($H20=リスト!$AA$4,"-",
   IF($C20="-","-",
     IF(CB$4&gt;$P20,"-",
       IF(CB$4=1,$E20,OFFSET(CB20,0,-2)-OFFSET(CB20,0,-1)
))))</f>
        <v>-</v>
      </c>
      <c r="CC20" s="57" t="str">
        <f>IF($H20=リスト!$AA$4,"-",
 IF($C20="-","-",
  IF(CB$4&gt;$P20,"-",
   CHOOSE(MATCH($H$3,リスト!$AE$3:$AE$5,0),
    ROUNDUP(
      CB20*IF(CB20*$I20&lt;=$L20,$J20,$I20)*
      IF($P20=1,
         $S20/12,
         IF(CB$4=1,
            $T20/12,
            IF(CB$4=$P20,
               $U20/12,
               1
      ))),0),
    ROUNDDOWN(
      CB20*IF(CB20*$I20&lt;=$L20,$J20,$I20)*
      IF($P20=1,
         $S20/12,
         IF(CB$4=1,
            $T20/12,
            IF(CB$4=$P20,
               $U20/12,
               1
      ))),0),
    ROUND(
      CB20*IF(CB20*$I20&lt;=$L20,$J20,$I20)*
      IF($P20=1,
         $S20/12,
         IF(CB$4=1,
            $T20/12,
            IF(CB$4=$P20,
               $U20/12,
               1
      ))),0)
))))</f>
        <v>-</v>
      </c>
      <c r="CD20" s="56" t="str">
        <f ca="1">IF($H20=リスト!$AA$4,"-",
   IF($C20="-","-",
     IF(CD$4&gt;$P20,"-",
       IF(CD$4=1,$E20,OFFSET(CD20,0,-2)-OFFSET(CD20,0,-1)
))))</f>
        <v>-</v>
      </c>
      <c r="CE20" s="57" t="str">
        <f>IF($H20=リスト!$AA$4,"-",
 IF($C20="-","-",
  IF(CD$4&gt;$P20,"-",
   CHOOSE(MATCH($H$3,リスト!$AE$3:$AE$5,0),
    ROUNDUP(
      CD20*IF(CD20*$I20&lt;=$L20,$J20,$I20)*
      IF($P20=1,
         $S20/12,
         IF(CD$4=1,
            $T20/12,
            IF(CD$4=$P20,
               $U20/12,
               1
      ))),0),
    ROUNDDOWN(
      CD20*IF(CD20*$I20&lt;=$L20,$J20,$I20)*
      IF($P20=1,
         $S20/12,
         IF(CD$4=1,
            $T20/12,
            IF(CD$4=$P20,
               $U20/12,
               1
      ))),0),
    ROUND(
      CD20*IF(CD20*$I20&lt;=$L20,$J20,$I20)*
      IF($P20=1,
         $S20/12,
         IF(CD$4=1,
            $T20/12,
            IF(CD$4=$P20,
               $U20/12,
               1
      ))),0)
))))</f>
        <v>-</v>
      </c>
      <c r="CF20" s="56" t="str">
        <f ca="1">IF($H20=リスト!$AA$4,"-",
   IF($C20="-","-",
     IF(CF$4&gt;$P20,"-",
       IF(CF$4=1,$E20,OFFSET(CF20,0,-2)-OFFSET(CF20,0,-1)
))))</f>
        <v>-</v>
      </c>
      <c r="CG20" s="57" t="str">
        <f>IF($H20=リスト!$AA$4,"-",
 IF($C20="-","-",
  IF(CF$4&gt;$P20,"-",
   CHOOSE(MATCH($H$3,リスト!$AE$3:$AE$5,0),
    ROUNDUP(
      CF20*IF(CF20*$I20&lt;=$L20,$J20,$I20)*
      IF($P20=1,
         $S20/12,
         IF(CF$4=1,
            $T20/12,
            IF(CF$4=$P20,
               $U20/12,
               1
      ))),0),
    ROUNDDOWN(
      CF20*IF(CF20*$I20&lt;=$L20,$J20,$I20)*
      IF($P20=1,
         $S20/12,
         IF(CF$4=1,
            $T20/12,
            IF(CF$4=$P20,
               $U20/12,
               1
      ))),0),
    ROUND(
      CF20*IF(CF20*$I20&lt;=$L20,$J20,$I20)*
      IF($P20=1,
         $S20/12,
         IF(CF$4=1,
            $T20/12,
            IF(CF$4=$P20,
               $U20/12,
               1
      ))),0)
))))</f>
        <v>-</v>
      </c>
      <c r="CH20" s="56" t="str">
        <f ca="1">IF($H20=リスト!$AA$4,"-",
   IF($C20="-","-",
     IF(CH$4&gt;$P20,"-",
       IF(CH$4=1,$E20,OFFSET(CH20,0,-2)-OFFSET(CH20,0,-1)
))))</f>
        <v>-</v>
      </c>
      <c r="CI20" s="57" t="str">
        <f>IF($H20=リスト!$AA$4,"-",
 IF($C20="-","-",
  IF(CH$4&gt;$P20,"-",
   CHOOSE(MATCH($H$3,リスト!$AE$3:$AE$5,0),
    ROUNDUP(
      CH20*IF(CH20*$I20&lt;=$L20,$J20,$I20)*
      IF($P20=1,
         $S20/12,
         IF(CH$4=1,
            $T20/12,
            IF(CH$4=$P20,
               $U20/12,
               1
      ))),0),
    ROUNDDOWN(
      CH20*IF(CH20*$I20&lt;=$L20,$J20,$I20)*
      IF($P20=1,
         $S20/12,
         IF(CH$4=1,
            $T20/12,
            IF(CH$4=$P20,
               $U20/12,
               1
      ))),0),
    ROUND(
      CH20*IF(CH20*$I20&lt;=$L20,$J20,$I20)*
      IF($P20=1,
         $S20/12,
         IF(CH$4=1,
            $T20/12,
            IF(CH$4=$P20,
               $U20/12,
               1
      ))),0)
))))</f>
        <v>-</v>
      </c>
      <c r="CJ20" s="56" t="str">
        <f ca="1">IF($H20=リスト!$AA$4,"-",
   IF($C20="-","-",
     IF(CJ$4&gt;$P20,"-",
       IF(CJ$4=1,$E20,OFFSET(CJ20,0,-2)-OFFSET(CJ20,0,-1)
))))</f>
        <v>-</v>
      </c>
      <c r="CK20" s="57" t="str">
        <f>IF($H20=リスト!$AA$4,"-",
 IF($C20="-","-",
  IF(CJ$4&gt;$P20,"-",
   CHOOSE(MATCH($H$3,リスト!$AE$3:$AE$5,0),
    ROUNDUP(
      CJ20*IF(CJ20*$I20&lt;=$L20,$J20,$I20)*
      IF($P20=1,
         $S20/12,
         IF(CJ$4=1,
            $T20/12,
            IF(CJ$4=$P20,
               $U20/12,
               1
      ))),0),
    ROUNDDOWN(
      CJ20*IF(CJ20*$I20&lt;=$L20,$J20,$I20)*
      IF($P20=1,
         $S20/12,
         IF(CJ$4=1,
            $T20/12,
            IF(CJ$4=$P20,
               $U20/12,
               1
      ))),0),
    ROUND(
      CJ20*IF(CJ20*$I20&lt;=$L20,$J20,$I20)*
      IF($P20=1,
         $S20/12,
         IF(CJ$4=1,
            $T20/12,
            IF(CJ$4=$P20,
               $U20/12,
               1
      ))),0)
))))</f>
        <v>-</v>
      </c>
      <c r="CL20" s="56" t="str">
        <f ca="1">IF($H20=リスト!$AA$4,"-",
   IF($C20="-","-",
     IF(CL$4&gt;$P20,"-",
       IF(CL$4=1,$E20,OFFSET(CL20,0,-2)-OFFSET(CL20,0,-1)
))))</f>
        <v>-</v>
      </c>
      <c r="CM20" s="57" t="str">
        <f>IF($H20=リスト!$AA$4,"-",
 IF($C20="-","-",
  IF(CL$4&gt;$P20,"-",
   CHOOSE(MATCH($H$3,リスト!$AE$3:$AE$5,0),
    ROUNDUP(
      CL20*IF(CL20*$I20&lt;=$L20,$J20,$I20)*
      IF($P20=1,
         $S20/12,
         IF(CL$4=1,
            $T20/12,
            IF(CL$4=$P20,
               $U20/12,
               1
      ))),0),
    ROUNDDOWN(
      CL20*IF(CL20*$I20&lt;=$L20,$J20,$I20)*
      IF($P20=1,
         $S20/12,
         IF(CL$4=1,
            $T20/12,
            IF(CL$4=$P20,
               $U20/12,
               1
      ))),0),
    ROUND(
      CL20*IF(CL20*$I20&lt;=$L20,$J20,$I20)*
      IF($P20=1,
         $S20/12,
         IF(CL$4=1,
            $T20/12,
            IF(CL$4=$P20,
               $U20/12,
               1
      ))),0)
))))</f>
        <v>-</v>
      </c>
      <c r="CN20" s="56" t="str">
        <f ca="1">IF($H20=リスト!$AA$4,"-",
   IF($C20="-","-",
     IF(CN$4&gt;$P20,"-",
       IF(CN$4=1,$E20,OFFSET(CN20,0,-2)-OFFSET(CN20,0,-1)
))))</f>
        <v>-</v>
      </c>
      <c r="CO20" s="57" t="str">
        <f>IF($H20=リスト!$AA$4,"-",
 IF($C20="-","-",
  IF(CN$4&gt;$P20,"-",
   CHOOSE(MATCH($H$3,リスト!$AE$3:$AE$5,0),
    ROUNDUP(
      CN20*IF(CN20*$I20&lt;=$L20,$J20,$I20)*
      IF($P20=1,
         $S20/12,
         IF(CN$4=1,
            $T20/12,
            IF(CN$4=$P20,
               $U20/12,
               1
      ))),0),
    ROUNDDOWN(
      CN20*IF(CN20*$I20&lt;=$L20,$J20,$I20)*
      IF($P20=1,
         $S20/12,
         IF(CN$4=1,
            $T20/12,
            IF(CN$4=$P20,
               $U20/12,
               1
      ))),0),
    ROUND(
      CN20*IF(CN20*$I20&lt;=$L20,$J20,$I20)*
      IF($P20=1,
         $S20/12,
         IF(CN$4=1,
            $T20/12,
            IF(CN$4=$P20,
               $U20/12,
               1
      ))),0)
))))</f>
        <v>-</v>
      </c>
      <c r="CP20" s="56" t="str">
        <f ca="1">IF($H20=リスト!$AA$4,"-",
   IF($C20="-","-",
     IF(CP$4&gt;$P20,"-",
       IF(CP$4=1,$E20,OFFSET(CP20,0,-2)-OFFSET(CP20,0,-1)
))))</f>
        <v>-</v>
      </c>
      <c r="CQ20" s="57" t="str">
        <f>IF($H20=リスト!$AA$4,"-",
 IF($C20="-","-",
  IF(CP$4&gt;$P20,"-",
   CHOOSE(MATCH($H$3,リスト!$AE$3:$AE$5,0),
    ROUNDUP(
      CP20*IF(CP20*$I20&lt;=$L20,$J20,$I20)*
      IF($P20=1,
         $S20/12,
         IF(CP$4=1,
            $T20/12,
            IF(CP$4=$P20,
               $U20/12,
               1
      ))),0),
    ROUNDDOWN(
      CP20*IF(CP20*$I20&lt;=$L20,$J20,$I20)*
      IF($P20=1,
         $S20/12,
         IF(CP$4=1,
            $T20/12,
            IF(CP$4=$P20,
               $U20/12,
               1
      ))),0),
    ROUND(
      CP20*IF(CP20*$I20&lt;=$L20,$J20,$I20)*
      IF($P20=1,
         $S20/12,
         IF(CP$4=1,
            $T20/12,
            IF(CP$4=$P20,
               $U20/12,
               1
      ))),0)
))))</f>
        <v>-</v>
      </c>
      <c r="CR20" s="56" t="str">
        <f ca="1">IF($H20=リスト!$AA$4,"-",
   IF($C20="-","-",
     IF(CR$4&gt;$P20,"-",
       IF(CR$4=1,$E20,OFFSET(CR20,0,-2)-OFFSET(CR20,0,-1)
))))</f>
        <v>-</v>
      </c>
      <c r="CS20" s="57" t="str">
        <f>IF($H20=リスト!$AA$4,"-",
 IF($C20="-","-",
  IF(CR$4&gt;$P20,"-",
   CHOOSE(MATCH($H$3,リスト!$AE$3:$AE$5,0),
    ROUNDUP(
      CR20*IF(CR20*$I20&lt;=$L20,$J20,$I20)*
      IF($P20=1,
         $S20/12,
         IF(CR$4=1,
            $T20/12,
            IF(CR$4=$P20,
               $U20/12,
               1
      ))),0),
    ROUNDDOWN(
      CR20*IF(CR20*$I20&lt;=$L20,$J20,$I20)*
      IF($P20=1,
         $S20/12,
         IF(CR$4=1,
            $T20/12,
            IF(CR$4=$P20,
               $U20/12,
               1
      ))),0),
    ROUND(
      CR20*IF(CR20*$I20&lt;=$L20,$J20,$I20)*
      IF($P20=1,
         $S20/12,
         IF(CR$4=1,
            $T20/12,
            IF(CR$4=$P20,
               $U20/12,
               1
      ))),0)
))))</f>
        <v>-</v>
      </c>
      <c r="CT20" s="56" t="str">
        <f ca="1">IF($H20=リスト!$AA$4,"-",
   IF($C20="-","-",
     IF(CT$4&gt;$P20,"-",
       IF(CT$4=1,$E20,OFFSET(CT20,0,-2)-OFFSET(CT20,0,-1)
))))</f>
        <v>-</v>
      </c>
      <c r="CU20" s="57" t="str">
        <f>IF($H20=リスト!$AA$4,"-",
 IF($C20="-","-",
  IF(CT$4&gt;$P20,"-",
   CHOOSE(MATCH($H$3,リスト!$AE$3:$AE$5,0),
    ROUNDUP(
      CT20*IF(CT20*$I20&lt;=$L20,$J20,$I20)*
      IF($P20=1,
         $S20/12,
         IF(CT$4=1,
            $T20/12,
            IF(CT$4=$P20,
               $U20/12,
               1
      ))),0),
    ROUNDDOWN(
      CT20*IF(CT20*$I20&lt;=$L20,$J20,$I20)*
      IF($P20=1,
         $S20/12,
         IF(CT$4=1,
            $T20/12,
            IF(CT$4=$P20,
               $U20/12,
               1
      ))),0),
    ROUND(
      CT20*IF(CT20*$I20&lt;=$L20,$J20,$I20)*
      IF($P20=1,
         $S20/12,
         IF(CT$4=1,
            $T20/12,
            IF(CT$4=$P20,
               $U20/12,
               1
      ))),0)
))))</f>
        <v>-</v>
      </c>
      <c r="CV20" s="56" t="str">
        <f ca="1">IF($H20=リスト!$AA$4,"-",
   IF($C20="-","-",
     IF(CV$4&gt;$P20,"-",
       IF(CV$4=1,$E20,OFFSET(CV20,0,-2)-OFFSET(CV20,0,-1)
))))</f>
        <v>-</v>
      </c>
      <c r="CW20" s="57" t="str">
        <f>IF($H20=リスト!$AA$4,"-",
 IF($C20="-","-",
  IF(CV$4&gt;$P20,"-",
   CHOOSE(MATCH($H$3,リスト!$AE$3:$AE$5,0),
    ROUNDUP(
      CV20*IF(CV20*$I20&lt;=$L20,$J20,$I20)*
      IF($P20=1,
         $S20/12,
         IF(CV$4=1,
            $T20/12,
            IF(CV$4=$P20,
               $U20/12,
               1
      ))),0),
    ROUNDDOWN(
      CV20*IF(CV20*$I20&lt;=$L20,$J20,$I20)*
      IF($P20=1,
         $S20/12,
         IF(CV$4=1,
            $T20/12,
            IF(CV$4=$P20,
               $U20/12,
               1
      ))),0),
    ROUND(
      CV20*IF(CV20*$I20&lt;=$L20,$J20,$I20)*
      IF($P20=1,
         $S20/12,
         IF(CV$4=1,
            $T20/12,
            IF(CV$4=$P20,
               $U20/12,
               1
      ))),0)
))))</f>
        <v>-</v>
      </c>
      <c r="CX20" s="56" t="str">
        <f ca="1">IF($H20=リスト!$AA$4,"-",
   IF($C20="-","-",
     IF(CX$4&gt;$P20,"-",
       IF(CX$4=1,$E20,OFFSET(CX20,0,-2)-OFFSET(CX20,0,-1)
))))</f>
        <v>-</v>
      </c>
      <c r="CY20" s="57" t="str">
        <f>IF($H20=リスト!$AA$4,"-",
 IF($C20="-","-",
  IF(CX$4&gt;$P20,"-",
   CHOOSE(MATCH($H$3,リスト!$AE$3:$AE$5,0),
    ROUNDUP(
      CX20*IF(CX20*$I20&lt;=$L20,$J20,$I20)*
      IF($P20=1,
         $S20/12,
         IF(CX$4=1,
            $T20/12,
            IF(CX$4=$P20,
               $U20/12,
               1
      ))),0),
    ROUNDDOWN(
      CX20*IF(CX20*$I20&lt;=$L20,$J20,$I20)*
      IF($P20=1,
         $S20/12,
         IF(CX$4=1,
            $T20/12,
            IF(CX$4=$P20,
               $U20/12,
               1
      ))),0),
    ROUND(
      CX20*IF(CX20*$I20&lt;=$L20,$J20,$I20)*
      IF($P20=1,
         $S20/12,
         IF(CX$4=1,
            $T20/12,
            IF(CX$4=$P20,
               $U20/12,
               1
      ))),0)
))))</f>
        <v>-</v>
      </c>
      <c r="CZ20" s="56" t="str">
        <f ca="1">IF($H20=リスト!$AA$4,"-",
   IF($C20="-","-",
     IF(CZ$4&gt;$P20,"-",
       IF(CZ$4=1,$E20,OFFSET(CZ20,0,-2)-OFFSET(CZ20,0,-1)
))))</f>
        <v>-</v>
      </c>
      <c r="DA20" s="57" t="str">
        <f>IF($H20=リスト!$AA$4,"-",
 IF($C20="-","-",
  IF(CZ$4&gt;$P20,"-",
   CHOOSE(MATCH($H$3,リスト!$AE$3:$AE$5,0),
    ROUNDUP(
      CZ20*IF(CZ20*$I20&lt;=$L20,$J20,$I20)*
      IF($P20=1,
         $S20/12,
         IF(CZ$4=1,
            $T20/12,
            IF(CZ$4=$P20,
               $U20/12,
               1
      ))),0),
    ROUNDDOWN(
      CZ20*IF(CZ20*$I20&lt;=$L20,$J20,$I20)*
      IF($P20=1,
         $S20/12,
         IF(CZ$4=1,
            $T20/12,
            IF(CZ$4=$P20,
               $U20/12,
               1
      ))),0),
    ROUND(
      CZ20*IF(CZ20*$I20&lt;=$L20,$J20,$I20)*
      IF($P20=1,
         $S20/12,
         IF(CZ$4=1,
            $T20/12,
            IF(CZ$4=$P20,
               $U20/12,
               1
      ))),0)
))))</f>
        <v>-</v>
      </c>
      <c r="DB20" s="56" t="str">
        <f ca="1">IF($H20=リスト!$AA$4,"-",
   IF($C20="-","-",
     IF(DB$4&gt;$P20,"-",
       IF(DB$4=1,$E20,OFFSET(DB20,0,-2)-OFFSET(DB20,0,-1)
))))</f>
        <v>-</v>
      </c>
      <c r="DC20" s="57" t="str">
        <f>IF($H20=リスト!$AA$4,"-",
 IF($C20="-","-",
  IF(DB$4&gt;$P20,"-",
   CHOOSE(MATCH($H$3,リスト!$AE$3:$AE$5,0),
    ROUNDUP(
      DB20*IF(DB20*$I20&lt;=$L20,$J20,$I20)*
      IF($P20=1,
         $S20/12,
         IF(DB$4=1,
            $T20/12,
            IF(DB$4=$P20,
               $U20/12,
               1
      ))),0),
    ROUNDDOWN(
      DB20*IF(DB20*$I20&lt;=$L20,$J20,$I20)*
      IF($P20=1,
         $S20/12,
         IF(DB$4=1,
            $T20/12,
            IF(DB$4=$P20,
               $U20/12,
               1
      ))),0),
    ROUND(
      DB20*IF(DB20*$I20&lt;=$L20,$J20,$I20)*
      IF($P20=1,
         $S20/12,
         IF(DB$4=1,
            $T20/12,
            IF(DB$4=$P20,
               $U20/12,
               1
      ))),0)
))))</f>
        <v>-</v>
      </c>
      <c r="DD20" s="56" t="str">
        <f ca="1">IF($H20=リスト!$AA$4,"-",
   IF($C20="-","-",
     IF(DD$4&gt;$P20,"-",
       IF(DD$4=1,$E20,OFFSET(DD20,0,-2)-OFFSET(DD20,0,-1)
))))</f>
        <v>-</v>
      </c>
      <c r="DE20" s="57" t="str">
        <f>IF($H20=リスト!$AA$4,"-",
 IF($C20="-","-",
  IF(DD$4&gt;$P20,"-",
   CHOOSE(MATCH($H$3,リスト!$AE$3:$AE$5,0),
    ROUNDUP(
      DD20*IF(DD20*$I20&lt;=$L20,$J20,$I20)*
      IF($P20=1,
         $S20/12,
         IF(DD$4=1,
            $T20/12,
            IF(DD$4=$P20,
               $U20/12,
               1
      ))),0),
    ROUNDDOWN(
      DD20*IF(DD20*$I20&lt;=$L20,$J20,$I20)*
      IF($P20=1,
         $S20/12,
         IF(DD$4=1,
            $T20/12,
            IF(DD$4=$P20,
               $U20/12,
               1
      ))),0),
    ROUND(
      DD20*IF(DD20*$I20&lt;=$L20,$J20,$I20)*
      IF($P20=1,
         $S20/12,
         IF(DD$4=1,
            $T20/12,
            IF(DD$4=$P20,
               $U20/12,
               1
      ))),0)
))))</f>
        <v>-</v>
      </c>
      <c r="DF20" s="56" t="str">
        <f ca="1">IF($H20=リスト!$AA$4,"-",
   IF($C20="-","-",
     IF(DF$4&gt;$P20,"-",
       IF(DF$4=1,$E20,OFFSET(DF20,0,-2)-OFFSET(DF20,0,-1)
))))</f>
        <v>-</v>
      </c>
      <c r="DG20" s="57" t="str">
        <f>IF($H20=リスト!$AA$4,"-",
 IF($C20="-","-",
  IF(DF$4&gt;$P20,"-",
   CHOOSE(MATCH($H$3,リスト!$AE$3:$AE$5,0),
    ROUNDUP(
      DF20*IF(DF20*$I20&lt;=$L20,$J20,$I20)*
      IF($P20=1,
         $S20/12,
         IF(DF$4=1,
            $T20/12,
            IF(DF$4=$P20,
               $U20/12,
               1
      ))),0),
    ROUNDDOWN(
      DF20*IF(DF20*$I20&lt;=$L20,$J20,$I20)*
      IF($P20=1,
         $S20/12,
         IF(DF$4=1,
            $T20/12,
            IF(DF$4=$P20,
               $U20/12,
               1
      ))),0),
    ROUND(
      DF20*IF(DF20*$I20&lt;=$L20,$J20,$I20)*
      IF($P20=1,
         $S20/12,
         IF(DF$4=1,
            $T20/12,
            IF(DF$4=$P20,
               $U20/12,
               1
      ))),0)
))))</f>
        <v>-</v>
      </c>
      <c r="DH20" s="56" t="str">
        <f ca="1">IF($H20=リスト!$AA$4,"-",
   IF($C20="-","-",
     IF(DH$4&gt;$P20,"-",
       IF(DH$4=1,$E20,OFFSET(DH20,0,-2)-OFFSET(DH20,0,-1)
))))</f>
        <v>-</v>
      </c>
      <c r="DI20" s="57" t="str">
        <f>IF($H20=リスト!$AA$4,"-",
 IF($C20="-","-",
  IF(DH$4&gt;$P20,"-",
   CHOOSE(MATCH($H$3,リスト!$AE$3:$AE$5,0),
    ROUNDUP(
      DH20*IF(DH20*$I20&lt;=$L20,$J20,$I20)*
      IF($P20=1,
         $S20/12,
         IF(DH$4=1,
            $T20/12,
            IF(DH$4=$P20,
               $U20/12,
               1
      ))),0),
    ROUNDDOWN(
      DH20*IF(DH20*$I20&lt;=$L20,$J20,$I20)*
      IF($P20=1,
         $S20/12,
         IF(DH$4=1,
            $T20/12,
            IF(DH$4=$P20,
               $U20/12,
               1
      ))),0),
    ROUND(
      DH20*IF(DH20*$I20&lt;=$L20,$J20,$I20)*
      IF($P20=1,
         $S20/12,
         IF(DH$4=1,
            $T20/12,
            IF(DH$4=$P20,
               $U20/12,
               1
      ))),0)
))))</f>
        <v>-</v>
      </c>
      <c r="DJ20" s="56" t="str">
        <f ca="1">IF($H20=リスト!$AA$4,"-",
   IF($C20="-","-",
     IF(DJ$4&gt;$P20,"-",
       IF(DJ$4=1,$E20,OFFSET(DJ20,0,-2)-OFFSET(DJ20,0,-1)
))))</f>
        <v>-</v>
      </c>
      <c r="DK20" s="57" t="str">
        <f>IF($H20=リスト!$AA$4,"-",
 IF($C20="-","-",
  IF(DJ$4&gt;$P20,"-",
   CHOOSE(MATCH($H$3,リスト!$AE$3:$AE$5,0),
    ROUNDUP(
      DJ20*IF(DJ20*$I20&lt;=$L20,$J20,$I20)*
      IF($P20=1,
         $S20/12,
         IF(DJ$4=1,
            $T20/12,
            IF(DJ$4=$P20,
               $U20/12,
               1
      ))),0),
    ROUNDDOWN(
      DJ20*IF(DJ20*$I20&lt;=$L20,$J20,$I20)*
      IF($P20=1,
         $S20/12,
         IF(DJ$4=1,
            $T20/12,
            IF(DJ$4=$P20,
               $U20/12,
               1
      ))),0),
    ROUND(
      DJ20*IF(DJ20*$I20&lt;=$L20,$J20,$I20)*
      IF($P20=1,
         $S20/12,
         IF(DJ$4=1,
            $T20/12,
            IF(DJ$4=$P20,
               $U20/12,
               1
      ))),0)
))))</f>
        <v>-</v>
      </c>
      <c r="DL20" s="56" t="str">
        <f ca="1">IF($H20=リスト!$AA$4,"-",
   IF($C20="-","-",
     IF(DL$4&gt;$P20,"-",
       IF(DL$4=1,$E20,OFFSET(DL20,0,-2)-OFFSET(DL20,0,-1)
))))</f>
        <v>-</v>
      </c>
      <c r="DM20" s="57" t="str">
        <f>IF($H20=リスト!$AA$4,"-",
 IF($C20="-","-",
  IF(DL$4&gt;$P20,"-",
   CHOOSE(MATCH($H$3,リスト!$AE$3:$AE$5,0),
    ROUNDUP(
      DL20*IF(DL20*$I20&lt;=$L20,$J20,$I20)*
      IF($P20=1,
         $S20/12,
         IF(DL$4=1,
            $T20/12,
            IF(DL$4=$P20,
               $U20/12,
               1
      ))),0),
    ROUNDDOWN(
      DL20*IF(DL20*$I20&lt;=$L20,$J20,$I20)*
      IF($P20=1,
         $S20/12,
         IF(DL$4=1,
            $T20/12,
            IF(DL$4=$P20,
               $U20/12,
               1
      ))),0),
    ROUND(
      DL20*IF(DL20*$I20&lt;=$L20,$J20,$I20)*
      IF($P20=1,
         $S20/12,
         IF(DL$4=1,
            $T20/12,
            IF(DL$4=$P20,
               $U20/12,
               1
      ))),0)
))))</f>
        <v>-</v>
      </c>
      <c r="DN20" s="56" t="str">
        <f ca="1">IF($H20=リスト!$AA$4,"-",
   IF($C20="-","-",
     IF(DN$4&gt;$P20,"-",
       IF(DN$4=1,$E20,OFFSET(DN20,0,-2)-OFFSET(DN20,0,-1)
))))</f>
        <v>-</v>
      </c>
      <c r="DO20" s="57" t="str">
        <f>IF($H20=リスト!$AA$4,"-",
 IF($C20="-","-",
  IF(DN$4&gt;$P20,"-",
   CHOOSE(MATCH($H$3,リスト!$AE$3:$AE$5,0),
    ROUNDUP(
      DN20*IF(DN20*$I20&lt;=$L20,$J20,$I20)*
      IF($P20=1,
         $S20/12,
         IF(DN$4=1,
            $T20/12,
            IF(DN$4=$P20,
               $U20/12,
               1
      ))),0),
    ROUNDDOWN(
      DN20*IF(DN20*$I20&lt;=$L20,$J20,$I20)*
      IF($P20=1,
         $S20/12,
         IF(DN$4=1,
            $T20/12,
            IF(DN$4=$P20,
               $U20/12,
               1
      ))),0),
    ROUND(
      DN20*IF(DN20*$I20&lt;=$L20,$J20,$I20)*
      IF($P20=1,
         $S20/12,
         IF(DN$4=1,
            $T20/12,
            IF(DN$4=$P20,
               $U20/12,
               1
      ))),0)
))))</f>
        <v>-</v>
      </c>
      <c r="DP20" s="56" t="str">
        <f ca="1">IF($H20=リスト!$AA$4,"-",
   IF($C20="-","-",
     IF(DP$4&gt;$P20,"-",
       IF(DP$4=1,$E20,OFFSET(DP20,0,-2)-OFFSET(DP20,0,-1)
))))</f>
        <v>-</v>
      </c>
      <c r="DQ20" s="57" t="str">
        <f>IF($H20=リスト!$AA$4,"-",
 IF($C20="-","-",
  IF(DP$4&gt;$P20,"-",
   CHOOSE(MATCH($H$3,リスト!$AE$3:$AE$5,0),
    ROUNDUP(
      DP20*IF(DP20*$I20&lt;=$L20,$J20,$I20)*
      IF($P20=1,
         $S20/12,
         IF(DP$4=1,
            $T20/12,
            IF(DP$4=$P20,
               $U20/12,
               1
      ))),0),
    ROUNDDOWN(
      DP20*IF(DP20*$I20&lt;=$L20,$J20,$I20)*
      IF($P20=1,
         $S20/12,
         IF(DP$4=1,
            $T20/12,
            IF(DP$4=$P20,
               $U20/12,
               1
      ))),0),
    ROUND(
      DP20*IF(DP20*$I20&lt;=$L20,$J20,$I20)*
      IF($P20=1,
         $S20/12,
         IF(DP$4=1,
            $T20/12,
            IF(DP$4=$P20,
               $U20/12,
               1
      ))),0)
))))</f>
        <v>-</v>
      </c>
      <c r="DR20" s="56" t="str">
        <f ca="1">IF($H20=リスト!$AA$4,"-",
   IF($C20="-","-",
     IF(DR$4&gt;$P20,"-",
       IF(DR$4=1,$E20,OFFSET(DR20,0,-2)-OFFSET(DR20,0,-1)
))))</f>
        <v>-</v>
      </c>
      <c r="DS20" s="57" t="str">
        <f>IF($H20=リスト!$AA$4,"-",
 IF($C20="-","-",
  IF(DR$4&gt;$P20,"-",
   CHOOSE(MATCH($H$3,リスト!$AE$3:$AE$5,0),
    ROUNDUP(
      DR20*IF(DR20*$I20&lt;=$L20,$J20,$I20)*
      IF($P20=1,
         $S20/12,
         IF(DR$4=1,
            $T20/12,
            IF(DR$4=$P20,
               $U20/12,
               1
      ))),0),
    ROUNDDOWN(
      DR20*IF(DR20*$I20&lt;=$L20,$J20,$I20)*
      IF($P20=1,
         $S20/12,
         IF(DR$4=1,
            $T20/12,
            IF(DR$4=$P20,
               $U20/12,
               1
      ))),0),
    ROUND(
      DR20*IF(DR20*$I20&lt;=$L20,$J20,$I20)*
      IF($P20=1,
         $S20/12,
         IF(DR$4=1,
            $T20/12,
            IF(DR$4=$P20,
               $U20/12,
               1
      ))),0)
))))</f>
        <v>-</v>
      </c>
      <c r="DT20" s="56" t="str" cm="1">
        <f t="array" ref="DT20">IF($H20&lt;&gt;リスト!$AA$3,"-",$E20-SUMPRODUCT(IFERROR($Y20:$DS20*1,0), --(MOD(COLUMN($Y20:$DS20)-COLUMN($Y20),2)=0)))</f>
        <v>-</v>
      </c>
      <c r="DU20" s="56" t="str">
        <f>IF($H20&lt;&gt;リスト!$AA$4,"-",
    IF($H$3=リスト!$AE$3,$E20-ROUNDUP($E20*I20*$W20/12,0),
    IF($H$3=リスト!$AE$4,$E20-ROUNDDOWN($E20*I20*$W20/12,0),
    IF($H$3=リスト!$AE$5,$E20-ROUND($E20*I20*$W20/12,0),
    "-"))))</f>
        <v>-</v>
      </c>
    </row>
    <row r="21" spans="2:125">
      <c r="B21" s="54">
        <v>16</v>
      </c>
      <c r="C21" s="55" t="str">
        <f>IF(財産処分報告用!$C21="","-",財産処分報告用!$C21)</f>
        <v>-</v>
      </c>
      <c r="D21" s="55" t="str">
        <f>財産処分報告用!$E21</f>
        <v>-</v>
      </c>
      <c r="E21" s="56" t="str">
        <f>IF(財産処分報告用!$J21="","-",財産処分報告用!$J21)</f>
        <v>-</v>
      </c>
      <c r="F21" s="101" t="str">
        <f>IF(財産処分報告用!$K21="","-",財産処分報告用!$K21)</f>
        <v>-</v>
      </c>
      <c r="G21" s="101" t="str">
        <f>IF(財産処分報告用!$L21="","-",財産処分報告用!$L21)</f>
        <v>-</v>
      </c>
      <c r="H21" s="55" t="str">
        <f>IF(財産処分報告用!$M21="","-",財産処分報告用!$M21)</f>
        <v>-</v>
      </c>
      <c r="I21" s="55" t="str">
        <f>IF(OR($D21="-",$H21="-"),"-",INDEX(リスト!$AG$2:$AI$101,MATCH($D21,リスト!$AG$2:$AG$101,0),MATCH($H21,リスト!$AG$2:$AI$2,0)))</f>
        <v>-</v>
      </c>
      <c r="J21" s="55" t="str">
        <f>IF(OR($D21="-",$H21="-"),"-",IF($H21=リスト!$AA$4,"-",INDEX(リスト!$AG$2:$AK$101,MATCH($D21,リスト!$AG$2:$AG$101,0),4)))</f>
        <v>-</v>
      </c>
      <c r="K21" s="55" t="str">
        <f>IF(OR($D21="-",$H21="-"),"-",IF($H21=リスト!$AA$4,"-",INDEX(リスト!$AG$2:$AK$101,MATCH($D21,リスト!$AG$2:$AG$101,0),5)))</f>
        <v>-</v>
      </c>
      <c r="L21" s="55" t="str">
        <f t="shared" si="0"/>
        <v>-</v>
      </c>
      <c r="M21" s="101" t="str">
        <f t="shared" si="1"/>
        <v>-</v>
      </c>
      <c r="N21" s="101" t="str">
        <f t="shared" si="2"/>
        <v>-</v>
      </c>
      <c r="O21" s="101" t="str">
        <f t="shared" si="3"/>
        <v>-</v>
      </c>
      <c r="P21" s="102" t="str">
        <f t="shared" si="4"/>
        <v>-</v>
      </c>
      <c r="Q21" s="115" t="str">
        <f t="shared" si="5"/>
        <v>-</v>
      </c>
      <c r="R21" s="116" t="str">
        <f t="shared" si="6"/>
        <v>-</v>
      </c>
      <c r="S21" s="102" t="str">
        <f t="shared" si="7"/>
        <v>-</v>
      </c>
      <c r="T21" s="102" t="str">
        <f t="shared" si="8"/>
        <v>-</v>
      </c>
      <c r="U21" s="102" t="str">
        <f t="shared" si="9"/>
        <v>-</v>
      </c>
      <c r="V21" s="102" t="str">
        <f t="shared" si="10"/>
        <v>-</v>
      </c>
      <c r="W21" s="55" t="str">
        <f t="shared" si="11"/>
        <v>-</v>
      </c>
      <c r="X21" s="56" t="str">
        <f ca="1">IF($H21=リスト!$AA$4,"-",
   IF($C21="-","-",
     IF(X$4&gt;$P21,"-",
       IF(X$4=1,$E21,OFFSET(X21,0,-2)-OFFSET(X21,0,-1)
))))</f>
        <v>-</v>
      </c>
      <c r="Y21" s="57" t="str">
        <f>IF($H21=リスト!$AA$4,"-",
 IF($C21="-","-",
  IF(X$4&gt;$P21,"-",
   CHOOSE(MATCH($H$3,リスト!$AE$3:$AE$5,0),
    ROUNDUP(
      X21*IF(X21*$I21&lt;=$L21,$J21,$I21)*
      IF($P21=1,
         $S21/12,
         IF(X$4=1,
            $T21/12,
            IF(X$4=$P21,
               $U21/12,
               1
      ))),0),
    ROUNDDOWN(
      X21*IF(X21*$I21&lt;=$L21,$J21,$I21)*
      IF($P21=1,
         $S21/12,
         IF(X$4=1,
            $T21/12,
            IF(X$4=$P21,
               $U21/12,
               1
      ))),0),
    ROUND(
      X21*IF(X21*$I21&lt;=$L21,$J21,$I21)*
      IF($P21=1,
         $S21/12,
         IF(X$4=1,
            $T21/12,
            IF(X$4=$P21,
               $U21/12,
               1
      ))),0)
))))</f>
        <v>-</v>
      </c>
      <c r="Z21" s="56" t="str">
        <f ca="1">IF($H21=リスト!$AA$4,"-",
   IF($C21="-","-",
     IF(Z$4&gt;$P21,"-",
       IF(Z$4=1,$E21,OFFSET(Z21,0,-2)-OFFSET(Z21,0,-1)
))))</f>
        <v>-</v>
      </c>
      <c r="AA21" s="57" t="str">
        <f>IF($H21=リスト!$AA$4,"-",
 IF($C21="-","-",
  IF(Z$4&gt;$P21,"-",
   CHOOSE(MATCH($H$3,リスト!$AE$3:$AE$5,0),
    ROUNDUP(
      Z21*IF(Z21*$I21&lt;=$L21,$J21,$I21)*
      IF($P21=1,
         $S21/12,
         IF(Z$4=1,
            $T21/12,
            IF(Z$4=$P21,
               $U21/12,
               1
      ))),0),
    ROUNDDOWN(
      Z21*IF(Z21*$I21&lt;=$L21,$J21,$I21)*
      IF($P21=1,
         $S21/12,
         IF(Z$4=1,
            $T21/12,
            IF(Z$4=$P21,
               $U21/12,
               1
      ))),0),
    ROUND(
      Z21*IF(Z21*$I21&lt;=$L21,$J21,$I21)*
      IF($P21=1,
         $S21/12,
         IF(Z$4=1,
            $T21/12,
            IF(Z$4=$P21,
               $U21/12,
               1
      ))),0)
))))</f>
        <v>-</v>
      </c>
      <c r="AB21" s="56" t="str">
        <f ca="1">IF($H21=リスト!$AA$4,"-",
   IF($C21="-","-",
     IF(AB$4&gt;$P21,"-",
       IF(AB$4=1,$E21,OFFSET(AB21,0,-2)-OFFSET(AB21,0,-1)
))))</f>
        <v>-</v>
      </c>
      <c r="AC21" s="57" t="str">
        <f>IF($H21=リスト!$AA$4,"-",
 IF($C21="-","-",
  IF(AB$4&gt;$P21,"-",
   CHOOSE(MATCH($H$3,リスト!$AE$3:$AE$5,0),
    ROUNDUP(
      AB21*IF(AB21*$I21&lt;=$L21,$J21,$I21)*
      IF($P21=1,
         $S21/12,
         IF(AB$4=1,
            $T21/12,
            IF(AB$4=$P21,
               $U21/12,
               1
      ))),0),
    ROUNDDOWN(
      AB21*IF(AB21*$I21&lt;=$L21,$J21,$I21)*
      IF($P21=1,
         $S21/12,
         IF(AB$4=1,
            $T21/12,
            IF(AB$4=$P21,
               $U21/12,
               1
      ))),0),
    ROUND(
      AB21*IF(AB21*$I21&lt;=$L21,$J21,$I21)*
      IF($P21=1,
         $S21/12,
         IF(AB$4=1,
            $T21/12,
            IF(AB$4=$P21,
               $U21/12,
               1
      ))),0)
))))</f>
        <v>-</v>
      </c>
      <c r="AD21" s="56" t="str">
        <f ca="1">IF($H21=リスト!$AA$4,"-",
   IF($C21="-","-",
     IF(AD$4&gt;$P21,"-",
       IF(AD$4=1,$E21,OFFSET(AD21,0,-2)-OFFSET(AD21,0,-1)
))))</f>
        <v>-</v>
      </c>
      <c r="AE21" s="57" t="str">
        <f>IF($H21=リスト!$AA$4,"-",
 IF($C21="-","-",
  IF(AD$4&gt;$P21,"-",
   CHOOSE(MATCH($H$3,リスト!$AE$3:$AE$5,0),
    ROUNDUP(
      AD21*IF(AD21*$I21&lt;=$L21,$J21,$I21)*
      IF($P21=1,
         $S21/12,
         IF(AD$4=1,
            $T21/12,
            IF(AD$4=$P21,
               $U21/12,
               1
      ))),0),
    ROUNDDOWN(
      AD21*IF(AD21*$I21&lt;=$L21,$J21,$I21)*
      IF($P21=1,
         $S21/12,
         IF(AD$4=1,
            $T21/12,
            IF(AD$4=$P21,
               $U21/12,
               1
      ))),0),
    ROUND(
      AD21*IF(AD21*$I21&lt;=$L21,$J21,$I21)*
      IF($P21=1,
         $S21/12,
         IF(AD$4=1,
            $T21/12,
            IF(AD$4=$P21,
               $U21/12,
               1
      ))),0)
))))</f>
        <v>-</v>
      </c>
      <c r="AF21" s="56" t="str">
        <f ca="1">IF($H21=リスト!$AA$4,"-",
   IF($C21="-","-",
     IF(AF$4&gt;$P21,"-",
       IF(AF$4=1,$E21,OFFSET(AF21,0,-2)-OFFSET(AF21,0,-1)
))))</f>
        <v>-</v>
      </c>
      <c r="AG21" s="57" t="str">
        <f>IF($H21=リスト!$AA$4,"-",
 IF($C21="-","-",
  IF(AF$4&gt;$P21,"-",
   CHOOSE(MATCH($H$3,リスト!$AE$3:$AE$5,0),
    ROUNDUP(
      AF21*IF(AF21*$I21&lt;=$L21,$J21,$I21)*
      IF($P21=1,
         $S21/12,
         IF(AF$4=1,
            $T21/12,
            IF(AF$4=$P21,
               $U21/12,
               1
      ))),0),
    ROUNDDOWN(
      AF21*IF(AF21*$I21&lt;=$L21,$J21,$I21)*
      IF($P21=1,
         $S21/12,
         IF(AF$4=1,
            $T21/12,
            IF(AF$4=$P21,
               $U21/12,
               1
      ))),0),
    ROUND(
      AF21*IF(AF21*$I21&lt;=$L21,$J21,$I21)*
      IF($P21=1,
         $S21/12,
         IF(AF$4=1,
            $T21/12,
            IF(AF$4=$P21,
               $U21/12,
               1
      ))),0)
))))</f>
        <v>-</v>
      </c>
      <c r="AH21" s="56" t="str">
        <f ca="1">IF($H21=リスト!$AA$4,"-",
   IF($C21="-","-",
     IF(AH$4&gt;$P21,"-",
       IF(AH$4=1,$E21,OFFSET(AH21,0,-2)-OFFSET(AH21,0,-1)
))))</f>
        <v>-</v>
      </c>
      <c r="AI21" s="57" t="str">
        <f>IF($H21=リスト!$AA$4,"-",
 IF($C21="-","-",
  IF(AH$4&gt;$P21,"-",
   CHOOSE(MATCH($H$3,リスト!$AE$3:$AE$5,0),
    ROUNDUP(
      AH21*IF(AH21*$I21&lt;=$L21,$J21,$I21)*
      IF($P21=1,
         $S21/12,
         IF(AH$4=1,
            $T21/12,
            IF(AH$4=$P21,
               $U21/12,
               1
      ))),0),
    ROUNDDOWN(
      AH21*IF(AH21*$I21&lt;=$L21,$J21,$I21)*
      IF($P21=1,
         $S21/12,
         IF(AH$4=1,
            $T21/12,
            IF(AH$4=$P21,
               $U21/12,
               1
      ))),0),
    ROUND(
      AH21*IF(AH21*$I21&lt;=$L21,$J21,$I21)*
      IF($P21=1,
         $S21/12,
         IF(AH$4=1,
            $T21/12,
            IF(AH$4=$P21,
               $U21/12,
               1
      ))),0)
))))</f>
        <v>-</v>
      </c>
      <c r="AJ21" s="56" t="str">
        <f ca="1">IF($H21=リスト!$AA$4,"-",
   IF($C21="-","-",
     IF(AJ$4&gt;$P21,"-",
       IF(AJ$4=1,$E21,OFFSET(AJ21,0,-2)-OFFSET(AJ21,0,-1)
))))</f>
        <v>-</v>
      </c>
      <c r="AK21" s="57" t="str">
        <f>IF($H21=リスト!$AA$4,"-",
 IF($C21="-","-",
  IF(AJ$4&gt;$P21,"-",
   CHOOSE(MATCH($H$3,リスト!$AE$3:$AE$5,0),
    ROUNDUP(
      AJ21*IF(AJ21*$I21&lt;=$L21,$J21,$I21)*
      IF($P21=1,
         $S21/12,
         IF(AJ$4=1,
            $T21/12,
            IF(AJ$4=$P21,
               $U21/12,
               1
      ))),0),
    ROUNDDOWN(
      AJ21*IF(AJ21*$I21&lt;=$L21,$J21,$I21)*
      IF($P21=1,
         $S21/12,
         IF(AJ$4=1,
            $T21/12,
            IF(AJ$4=$P21,
               $U21/12,
               1
      ))),0),
    ROUND(
      AJ21*IF(AJ21*$I21&lt;=$L21,$J21,$I21)*
      IF($P21=1,
         $S21/12,
         IF(AJ$4=1,
            $T21/12,
            IF(AJ$4=$P21,
               $U21/12,
               1
      ))),0)
))))</f>
        <v>-</v>
      </c>
      <c r="AL21" s="56" t="str">
        <f ca="1">IF($H21=リスト!$AA$4,"-",
   IF($C21="-","-",
     IF(AL$4&gt;$P21,"-",
       IF(AL$4=1,$E21,OFFSET(AL21,0,-2)-OFFSET(AL21,0,-1)
))))</f>
        <v>-</v>
      </c>
      <c r="AM21" s="57" t="str">
        <f>IF($H21=リスト!$AA$4,"-",
 IF($C21="-","-",
  IF(AL$4&gt;$P21,"-",
   CHOOSE(MATCH($H$3,リスト!$AE$3:$AE$5,0),
    ROUNDUP(
      AL21*IF(AL21*$I21&lt;=$L21,$J21,$I21)*
      IF($P21=1,
         $S21/12,
         IF(AL$4=1,
            $T21/12,
            IF(AL$4=$P21,
               $U21/12,
               1
      ))),0),
    ROUNDDOWN(
      AL21*IF(AL21*$I21&lt;=$L21,$J21,$I21)*
      IF($P21=1,
         $S21/12,
         IF(AL$4=1,
            $T21/12,
            IF(AL$4=$P21,
               $U21/12,
               1
      ))),0),
    ROUND(
      AL21*IF(AL21*$I21&lt;=$L21,$J21,$I21)*
      IF($P21=1,
         $S21/12,
         IF(AL$4=1,
            $T21/12,
            IF(AL$4=$P21,
               $U21/12,
               1
      ))),0)
))))</f>
        <v>-</v>
      </c>
      <c r="AN21" s="56" t="str">
        <f ca="1">IF($H21=リスト!$AA$4,"-",
   IF($C21="-","-",
     IF(AN$4&gt;$P21,"-",
       IF(AN$4=1,$E21,OFFSET(AN21,0,-2)-OFFSET(AN21,0,-1)
))))</f>
        <v>-</v>
      </c>
      <c r="AO21" s="57" t="str">
        <f>IF($H21=リスト!$AA$4,"-",
 IF($C21="-","-",
  IF(AN$4&gt;$P21,"-",
   CHOOSE(MATCH($H$3,リスト!$AE$3:$AE$5,0),
    ROUNDUP(
      AN21*IF(AN21*$I21&lt;=$L21,$J21,$I21)*
      IF($P21=1,
         $S21/12,
         IF(AN$4=1,
            $T21/12,
            IF(AN$4=$P21,
               $U21/12,
               1
      ))),0),
    ROUNDDOWN(
      AN21*IF(AN21*$I21&lt;=$L21,$J21,$I21)*
      IF($P21=1,
         $S21/12,
         IF(AN$4=1,
            $T21/12,
            IF(AN$4=$P21,
               $U21/12,
               1
      ))),0),
    ROUND(
      AN21*IF(AN21*$I21&lt;=$L21,$J21,$I21)*
      IF($P21=1,
         $S21/12,
         IF(AN$4=1,
            $T21/12,
            IF(AN$4=$P21,
               $U21/12,
               1
      ))),0)
))))</f>
        <v>-</v>
      </c>
      <c r="AP21" s="56" t="str">
        <f ca="1">IF($H21=リスト!$AA$4,"-",
   IF($C21="-","-",
     IF(AP$4&gt;$P21,"-",
       IF(AP$4=1,$E21,OFFSET(AP21,0,-2)-OFFSET(AP21,0,-1)
))))</f>
        <v>-</v>
      </c>
      <c r="AQ21" s="57" t="str">
        <f>IF($H21=リスト!$AA$4,"-",
 IF($C21="-","-",
  IF(AP$4&gt;$P21,"-",
   CHOOSE(MATCH($H$3,リスト!$AE$3:$AE$5,0),
    ROUNDUP(
      AP21*IF(AP21*$I21&lt;=$L21,$J21,$I21)*
      IF($P21=1,
         $S21/12,
         IF(AP$4=1,
            $T21/12,
            IF(AP$4=$P21,
               $U21/12,
               1
      ))),0),
    ROUNDDOWN(
      AP21*IF(AP21*$I21&lt;=$L21,$J21,$I21)*
      IF($P21=1,
         $S21/12,
         IF(AP$4=1,
            $T21/12,
            IF(AP$4=$P21,
               $U21/12,
               1
      ))),0),
    ROUND(
      AP21*IF(AP21*$I21&lt;=$L21,$J21,$I21)*
      IF($P21=1,
         $S21/12,
         IF(AP$4=1,
            $T21/12,
            IF(AP$4=$P21,
               $U21/12,
               1
      ))),0)
))))</f>
        <v>-</v>
      </c>
      <c r="AR21" s="56" t="str">
        <f ca="1">IF($H21=リスト!$AA$4,"-",
   IF($C21="-","-",
     IF(AR$4&gt;$P21,"-",
       IF(AR$4=1,$E21,OFFSET(AR21,0,-2)-OFFSET(AR21,0,-1)
))))</f>
        <v>-</v>
      </c>
      <c r="AS21" s="57" t="str">
        <f>IF($H21=リスト!$AA$4,"-",
 IF($C21="-","-",
  IF(AR$4&gt;$P21,"-",
   CHOOSE(MATCH($H$3,リスト!$AE$3:$AE$5,0),
    ROUNDUP(
      AR21*IF(AR21*$I21&lt;=$L21,$J21,$I21)*
      IF($P21=1,
         $S21/12,
         IF(AR$4=1,
            $T21/12,
            IF(AR$4=$P21,
               $U21/12,
               1
      ))),0),
    ROUNDDOWN(
      AR21*IF(AR21*$I21&lt;=$L21,$J21,$I21)*
      IF($P21=1,
         $S21/12,
         IF(AR$4=1,
            $T21/12,
            IF(AR$4=$P21,
               $U21/12,
               1
      ))),0),
    ROUND(
      AR21*IF(AR21*$I21&lt;=$L21,$J21,$I21)*
      IF($P21=1,
         $S21/12,
         IF(AR$4=1,
            $T21/12,
            IF(AR$4=$P21,
               $U21/12,
               1
      ))),0)
))))</f>
        <v>-</v>
      </c>
      <c r="AT21" s="56" t="str">
        <f ca="1">IF($H21=リスト!$AA$4,"-",
   IF($C21="-","-",
     IF(AT$4&gt;$P21,"-",
       IF(AT$4=1,$E21,OFFSET(AT21,0,-2)-OFFSET(AT21,0,-1)
))))</f>
        <v>-</v>
      </c>
      <c r="AU21" s="57" t="str">
        <f>IF($H21=リスト!$AA$4,"-",
 IF($C21="-","-",
  IF(AT$4&gt;$P21,"-",
   CHOOSE(MATCH($H$3,リスト!$AE$3:$AE$5,0),
    ROUNDUP(
      AT21*IF(AT21*$I21&lt;=$L21,$J21,$I21)*
      IF($P21=1,
         $S21/12,
         IF(AT$4=1,
            $T21/12,
            IF(AT$4=$P21,
               $U21/12,
               1
      ))),0),
    ROUNDDOWN(
      AT21*IF(AT21*$I21&lt;=$L21,$J21,$I21)*
      IF($P21=1,
         $S21/12,
         IF(AT$4=1,
            $T21/12,
            IF(AT$4=$P21,
               $U21/12,
               1
      ))),0),
    ROUND(
      AT21*IF(AT21*$I21&lt;=$L21,$J21,$I21)*
      IF($P21=1,
         $S21/12,
         IF(AT$4=1,
            $T21/12,
            IF(AT$4=$P21,
               $U21/12,
               1
      ))),0)
))))</f>
        <v>-</v>
      </c>
      <c r="AV21" s="56" t="str">
        <f ca="1">IF($H21=リスト!$AA$4,"-",
   IF($C21="-","-",
     IF(AV$4&gt;$P21,"-",
       IF(AV$4=1,$E21,OFFSET(AV21,0,-2)-OFFSET(AV21,0,-1)
))))</f>
        <v>-</v>
      </c>
      <c r="AW21" s="57" t="str">
        <f>IF($H21=リスト!$AA$4,"-",
 IF($C21="-","-",
  IF(AV$4&gt;$P21,"-",
   CHOOSE(MATCH($H$3,リスト!$AE$3:$AE$5,0),
    ROUNDUP(
      AV21*IF(AV21*$I21&lt;=$L21,$J21,$I21)*
      IF($P21=1,
         $S21/12,
         IF(AV$4=1,
            $T21/12,
            IF(AV$4=$P21,
               $U21/12,
               1
      ))),0),
    ROUNDDOWN(
      AV21*IF(AV21*$I21&lt;=$L21,$J21,$I21)*
      IF($P21=1,
         $S21/12,
         IF(AV$4=1,
            $T21/12,
            IF(AV$4=$P21,
               $U21/12,
               1
      ))),0),
    ROUND(
      AV21*IF(AV21*$I21&lt;=$L21,$J21,$I21)*
      IF($P21=1,
         $S21/12,
         IF(AV$4=1,
            $T21/12,
            IF(AV$4=$P21,
               $U21/12,
               1
      ))),0)
))))</f>
        <v>-</v>
      </c>
      <c r="AX21" s="56" t="str">
        <f ca="1">IF($H21=リスト!$AA$4,"-",
   IF($C21="-","-",
     IF(AX$4&gt;$P21,"-",
       IF(AX$4=1,$E21,OFFSET(AX21,0,-2)-OFFSET(AX21,0,-1)
))))</f>
        <v>-</v>
      </c>
      <c r="AY21" s="57" t="str">
        <f>IF($H21=リスト!$AA$4,"-",
 IF($C21="-","-",
  IF(AX$4&gt;$P21,"-",
   CHOOSE(MATCH($H$3,リスト!$AE$3:$AE$5,0),
    ROUNDUP(
      AX21*IF(AX21*$I21&lt;=$L21,$J21,$I21)*
      IF($P21=1,
         $S21/12,
         IF(AX$4=1,
            $T21/12,
            IF(AX$4=$P21,
               $U21/12,
               1
      ))),0),
    ROUNDDOWN(
      AX21*IF(AX21*$I21&lt;=$L21,$J21,$I21)*
      IF($P21=1,
         $S21/12,
         IF(AX$4=1,
            $T21/12,
            IF(AX$4=$P21,
               $U21/12,
               1
      ))),0),
    ROUND(
      AX21*IF(AX21*$I21&lt;=$L21,$J21,$I21)*
      IF($P21=1,
         $S21/12,
         IF(AX$4=1,
            $T21/12,
            IF(AX$4=$P21,
               $U21/12,
               1
      ))),0)
))))</f>
        <v>-</v>
      </c>
      <c r="AZ21" s="56" t="str">
        <f ca="1">IF($H21=リスト!$AA$4,"-",
   IF($C21="-","-",
     IF(AZ$4&gt;$P21,"-",
       IF(AZ$4=1,$E21,OFFSET(AZ21,0,-2)-OFFSET(AZ21,0,-1)
))))</f>
        <v>-</v>
      </c>
      <c r="BA21" s="57" t="str">
        <f>IF($H21=リスト!$AA$4,"-",
 IF($C21="-","-",
  IF(AZ$4&gt;$P21,"-",
   CHOOSE(MATCH($H$3,リスト!$AE$3:$AE$5,0),
    ROUNDUP(
      AZ21*IF(AZ21*$I21&lt;=$L21,$J21,$I21)*
      IF($P21=1,
         $S21/12,
         IF(AZ$4=1,
            $T21/12,
            IF(AZ$4=$P21,
               $U21/12,
               1
      ))),0),
    ROUNDDOWN(
      AZ21*IF(AZ21*$I21&lt;=$L21,$J21,$I21)*
      IF($P21=1,
         $S21/12,
         IF(AZ$4=1,
            $T21/12,
            IF(AZ$4=$P21,
               $U21/12,
               1
      ))),0),
    ROUND(
      AZ21*IF(AZ21*$I21&lt;=$L21,$J21,$I21)*
      IF($P21=1,
         $S21/12,
         IF(AZ$4=1,
            $T21/12,
            IF(AZ$4=$P21,
               $U21/12,
               1
      ))),0)
))))</f>
        <v>-</v>
      </c>
      <c r="BB21" s="56" t="str">
        <f ca="1">IF($H21=リスト!$AA$4,"-",
   IF($C21="-","-",
     IF(BB$4&gt;$P21,"-",
       IF(BB$4=1,$E21,OFFSET(BB21,0,-2)-OFFSET(BB21,0,-1)
))))</f>
        <v>-</v>
      </c>
      <c r="BC21" s="57" t="str">
        <f>IF($H21=リスト!$AA$4,"-",
 IF($C21="-","-",
  IF(BB$4&gt;$P21,"-",
   CHOOSE(MATCH($H$3,リスト!$AE$3:$AE$5,0),
    ROUNDUP(
      BB21*IF(BB21*$I21&lt;=$L21,$J21,$I21)*
      IF($P21=1,
         $S21/12,
         IF(BB$4=1,
            $T21/12,
            IF(BB$4=$P21,
               $U21/12,
               1
      ))),0),
    ROUNDDOWN(
      BB21*IF(BB21*$I21&lt;=$L21,$J21,$I21)*
      IF($P21=1,
         $S21/12,
         IF(BB$4=1,
            $T21/12,
            IF(BB$4=$P21,
               $U21/12,
               1
      ))),0),
    ROUND(
      BB21*IF(BB21*$I21&lt;=$L21,$J21,$I21)*
      IF($P21=1,
         $S21/12,
         IF(BB$4=1,
            $T21/12,
            IF(BB$4=$P21,
               $U21/12,
               1
      ))),0)
))))</f>
        <v>-</v>
      </c>
      <c r="BD21" s="56" t="str">
        <f ca="1">IF($H21=リスト!$AA$4,"-",
   IF($C21="-","-",
     IF(BD$4&gt;$P21,"-",
       IF(BD$4=1,$E21,OFFSET(BD21,0,-2)-OFFSET(BD21,0,-1)
))))</f>
        <v>-</v>
      </c>
      <c r="BE21" s="57" t="str">
        <f>IF($H21=リスト!$AA$4,"-",
 IF($C21="-","-",
  IF(BD$4&gt;$P21,"-",
   CHOOSE(MATCH($H$3,リスト!$AE$3:$AE$5,0),
    ROUNDUP(
      BD21*IF(BD21*$I21&lt;=$L21,$J21,$I21)*
      IF($P21=1,
         $S21/12,
         IF(BD$4=1,
            $T21/12,
            IF(BD$4=$P21,
               $U21/12,
               1
      ))),0),
    ROUNDDOWN(
      BD21*IF(BD21*$I21&lt;=$L21,$J21,$I21)*
      IF($P21=1,
         $S21/12,
         IF(BD$4=1,
            $T21/12,
            IF(BD$4=$P21,
               $U21/12,
               1
      ))),0),
    ROUND(
      BD21*IF(BD21*$I21&lt;=$L21,$J21,$I21)*
      IF($P21=1,
         $S21/12,
         IF(BD$4=1,
            $T21/12,
            IF(BD$4=$P21,
               $U21/12,
               1
      ))),0)
))))</f>
        <v>-</v>
      </c>
      <c r="BF21" s="56" t="str">
        <f ca="1">IF($H21=リスト!$AA$4,"-",
   IF($C21="-","-",
     IF(BF$4&gt;$P21,"-",
       IF(BF$4=1,$E21,OFFSET(BF21,0,-2)-OFFSET(BF21,0,-1)
))))</f>
        <v>-</v>
      </c>
      <c r="BG21" s="57" t="str">
        <f>IF($H21=リスト!$AA$4,"-",
 IF($C21="-","-",
  IF(BF$4&gt;$P21,"-",
   CHOOSE(MATCH($H$3,リスト!$AE$3:$AE$5,0),
    ROUNDUP(
      BF21*IF(BF21*$I21&lt;=$L21,$J21,$I21)*
      IF($P21=1,
         $S21/12,
         IF(BF$4=1,
            $T21/12,
            IF(BF$4=$P21,
               $U21/12,
               1
      ))),0),
    ROUNDDOWN(
      BF21*IF(BF21*$I21&lt;=$L21,$J21,$I21)*
      IF($P21=1,
         $S21/12,
         IF(BF$4=1,
            $T21/12,
            IF(BF$4=$P21,
               $U21/12,
               1
      ))),0),
    ROUND(
      BF21*IF(BF21*$I21&lt;=$L21,$J21,$I21)*
      IF($P21=1,
         $S21/12,
         IF(BF$4=1,
            $T21/12,
            IF(BF$4=$P21,
               $U21/12,
               1
      ))),0)
))))</f>
        <v>-</v>
      </c>
      <c r="BH21" s="56" t="str">
        <f ca="1">IF($H21=リスト!$AA$4,"-",
   IF($C21="-","-",
     IF(BH$4&gt;$P21,"-",
       IF(BH$4=1,$E21,OFFSET(BH21,0,-2)-OFFSET(BH21,0,-1)
))))</f>
        <v>-</v>
      </c>
      <c r="BI21" s="57" t="str">
        <f>IF($H21=リスト!$AA$4,"-",
 IF($C21="-","-",
  IF(BH$4&gt;$P21,"-",
   CHOOSE(MATCH($H$3,リスト!$AE$3:$AE$5,0),
    ROUNDUP(
      BH21*IF(BH21*$I21&lt;=$L21,$J21,$I21)*
      IF($P21=1,
         $S21/12,
         IF(BH$4=1,
            $T21/12,
            IF(BH$4=$P21,
               $U21/12,
               1
      ))),0),
    ROUNDDOWN(
      BH21*IF(BH21*$I21&lt;=$L21,$J21,$I21)*
      IF($P21=1,
         $S21/12,
         IF(BH$4=1,
            $T21/12,
            IF(BH$4=$P21,
               $U21/12,
               1
      ))),0),
    ROUND(
      BH21*IF(BH21*$I21&lt;=$L21,$J21,$I21)*
      IF($P21=1,
         $S21/12,
         IF(BH$4=1,
            $T21/12,
            IF(BH$4=$P21,
               $U21/12,
               1
      ))),0)
))))</f>
        <v>-</v>
      </c>
      <c r="BJ21" s="56" t="str">
        <f ca="1">IF($H21=リスト!$AA$4,"-",
   IF($C21="-","-",
     IF(BJ$4&gt;$P21,"-",
       IF(BJ$4=1,$E21,OFFSET(BJ21,0,-2)-OFFSET(BJ21,0,-1)
))))</f>
        <v>-</v>
      </c>
      <c r="BK21" s="57" t="str">
        <f>IF($H21=リスト!$AA$4,"-",
 IF($C21="-","-",
  IF(BJ$4&gt;$P21,"-",
   CHOOSE(MATCH($H$3,リスト!$AE$3:$AE$5,0),
    ROUNDUP(
      BJ21*IF(BJ21*$I21&lt;=$L21,$J21,$I21)*
      IF($P21=1,
         $S21/12,
         IF(BJ$4=1,
            $T21/12,
            IF(BJ$4=$P21,
               $U21/12,
               1
      ))),0),
    ROUNDDOWN(
      BJ21*IF(BJ21*$I21&lt;=$L21,$J21,$I21)*
      IF($P21=1,
         $S21/12,
         IF(BJ$4=1,
            $T21/12,
            IF(BJ$4=$P21,
               $U21/12,
               1
      ))),0),
    ROUND(
      BJ21*IF(BJ21*$I21&lt;=$L21,$J21,$I21)*
      IF($P21=1,
         $S21/12,
         IF(BJ$4=1,
            $T21/12,
            IF(BJ$4=$P21,
               $U21/12,
               1
      ))),0)
))))</f>
        <v>-</v>
      </c>
      <c r="BL21" s="56" t="str">
        <f ca="1">IF($H21=リスト!$AA$4,"-",
   IF($C21="-","-",
     IF(BL$4&gt;$P21,"-",
       IF(BL$4=1,$E21,OFFSET(BL21,0,-2)-OFFSET(BL21,0,-1)
))))</f>
        <v>-</v>
      </c>
      <c r="BM21" s="57" t="str">
        <f>IF($H21=リスト!$AA$4,"-",
 IF($C21="-","-",
  IF(BL$4&gt;$P21,"-",
   CHOOSE(MATCH($H$3,リスト!$AE$3:$AE$5,0),
    ROUNDUP(
      BL21*IF(BL21*$I21&lt;=$L21,$J21,$I21)*
      IF($P21=1,
         $S21/12,
         IF(BL$4=1,
            $T21/12,
            IF(BL$4=$P21,
               $U21/12,
               1
      ))),0),
    ROUNDDOWN(
      BL21*IF(BL21*$I21&lt;=$L21,$J21,$I21)*
      IF($P21=1,
         $S21/12,
         IF(BL$4=1,
            $T21/12,
            IF(BL$4=$P21,
               $U21/12,
               1
      ))),0),
    ROUND(
      BL21*IF(BL21*$I21&lt;=$L21,$J21,$I21)*
      IF($P21=1,
         $S21/12,
         IF(BL$4=1,
            $T21/12,
            IF(BL$4=$P21,
               $U21/12,
               1
      ))),0)
))))</f>
        <v>-</v>
      </c>
      <c r="BN21" s="56" t="str">
        <f ca="1">IF($H21=リスト!$AA$4,"-",
   IF($C21="-","-",
     IF(BN$4&gt;$P21,"-",
       IF(BN$4=1,$E21,OFFSET(BN21,0,-2)-OFFSET(BN21,0,-1)
))))</f>
        <v>-</v>
      </c>
      <c r="BO21" s="57" t="str">
        <f>IF($H21=リスト!$AA$4,"-",
 IF($C21="-","-",
  IF(BN$4&gt;$P21,"-",
   CHOOSE(MATCH($H$3,リスト!$AE$3:$AE$5,0),
    ROUNDUP(
      BN21*IF(BN21*$I21&lt;=$L21,$J21,$I21)*
      IF($P21=1,
         $S21/12,
         IF(BN$4=1,
            $T21/12,
            IF(BN$4=$P21,
               $U21/12,
               1
      ))),0),
    ROUNDDOWN(
      BN21*IF(BN21*$I21&lt;=$L21,$J21,$I21)*
      IF($P21=1,
         $S21/12,
         IF(BN$4=1,
            $T21/12,
            IF(BN$4=$P21,
               $U21/12,
               1
      ))),0),
    ROUND(
      BN21*IF(BN21*$I21&lt;=$L21,$J21,$I21)*
      IF($P21=1,
         $S21/12,
         IF(BN$4=1,
            $T21/12,
            IF(BN$4=$P21,
               $U21/12,
               1
      ))),0)
))))</f>
        <v>-</v>
      </c>
      <c r="BP21" s="56" t="str">
        <f ca="1">IF($H21=リスト!$AA$4,"-",
   IF($C21="-","-",
     IF(BP$4&gt;$P21,"-",
       IF(BP$4=1,$E21,OFFSET(BP21,0,-2)-OFFSET(BP21,0,-1)
))))</f>
        <v>-</v>
      </c>
      <c r="BQ21" s="57" t="str">
        <f>IF($H21=リスト!$AA$4,"-",
 IF($C21="-","-",
  IF(BP$4&gt;$P21,"-",
   CHOOSE(MATCH($H$3,リスト!$AE$3:$AE$5,0),
    ROUNDUP(
      BP21*IF(BP21*$I21&lt;=$L21,$J21,$I21)*
      IF($P21=1,
         $S21/12,
         IF(BP$4=1,
            $T21/12,
            IF(BP$4=$P21,
               $U21/12,
               1
      ))),0),
    ROUNDDOWN(
      BP21*IF(BP21*$I21&lt;=$L21,$J21,$I21)*
      IF($P21=1,
         $S21/12,
         IF(BP$4=1,
            $T21/12,
            IF(BP$4=$P21,
               $U21/12,
               1
      ))),0),
    ROUND(
      BP21*IF(BP21*$I21&lt;=$L21,$J21,$I21)*
      IF($P21=1,
         $S21/12,
         IF(BP$4=1,
            $T21/12,
            IF(BP$4=$P21,
               $U21/12,
               1
      ))),0)
))))</f>
        <v>-</v>
      </c>
      <c r="BR21" s="56" t="str">
        <f ca="1">IF($H21=リスト!$AA$4,"-",
   IF($C21="-","-",
     IF(BR$4&gt;$P21,"-",
       IF(BR$4=1,$E21,OFFSET(BR21,0,-2)-OFFSET(BR21,0,-1)
))))</f>
        <v>-</v>
      </c>
      <c r="BS21" s="57" t="str">
        <f>IF($H21=リスト!$AA$4,"-",
 IF($C21="-","-",
  IF(BR$4&gt;$P21,"-",
   CHOOSE(MATCH($H$3,リスト!$AE$3:$AE$5,0),
    ROUNDUP(
      BR21*IF(BR21*$I21&lt;=$L21,$J21,$I21)*
      IF($P21=1,
         $S21/12,
         IF(BR$4=1,
            $T21/12,
            IF(BR$4=$P21,
               $U21/12,
               1
      ))),0),
    ROUNDDOWN(
      BR21*IF(BR21*$I21&lt;=$L21,$J21,$I21)*
      IF($P21=1,
         $S21/12,
         IF(BR$4=1,
            $T21/12,
            IF(BR$4=$P21,
               $U21/12,
               1
      ))),0),
    ROUND(
      BR21*IF(BR21*$I21&lt;=$L21,$J21,$I21)*
      IF($P21=1,
         $S21/12,
         IF(BR$4=1,
            $T21/12,
            IF(BR$4=$P21,
               $U21/12,
               1
      ))),0)
))))</f>
        <v>-</v>
      </c>
      <c r="BT21" s="56" t="str">
        <f ca="1">IF($H21=リスト!$AA$4,"-",
   IF($C21="-","-",
     IF(BT$4&gt;$P21,"-",
       IF(BT$4=1,$E21,OFFSET(BT21,0,-2)-OFFSET(BT21,0,-1)
))))</f>
        <v>-</v>
      </c>
      <c r="BU21" s="57" t="str">
        <f>IF($H21=リスト!$AA$4,"-",
 IF($C21="-","-",
  IF(BT$4&gt;$P21,"-",
   CHOOSE(MATCH($H$3,リスト!$AE$3:$AE$5,0),
    ROUNDUP(
      BT21*IF(BT21*$I21&lt;=$L21,$J21,$I21)*
      IF($P21=1,
         $S21/12,
         IF(BT$4=1,
            $T21/12,
            IF(BT$4=$P21,
               $U21/12,
               1
      ))),0),
    ROUNDDOWN(
      BT21*IF(BT21*$I21&lt;=$L21,$J21,$I21)*
      IF($P21=1,
         $S21/12,
         IF(BT$4=1,
            $T21/12,
            IF(BT$4=$P21,
               $U21/12,
               1
      ))),0),
    ROUND(
      BT21*IF(BT21*$I21&lt;=$L21,$J21,$I21)*
      IF($P21=1,
         $S21/12,
         IF(BT$4=1,
            $T21/12,
            IF(BT$4=$P21,
               $U21/12,
               1
      ))),0)
))))</f>
        <v>-</v>
      </c>
      <c r="BV21" s="56" t="str">
        <f ca="1">IF($H21=リスト!$AA$4,"-",
   IF($C21="-","-",
     IF(BV$4&gt;$P21,"-",
       IF(BV$4=1,$E21,OFFSET(BV21,0,-2)-OFFSET(BV21,0,-1)
))))</f>
        <v>-</v>
      </c>
      <c r="BW21" s="57" t="str">
        <f>IF($H21=リスト!$AA$4,"-",
 IF($C21="-","-",
  IF(BV$4&gt;$P21,"-",
   CHOOSE(MATCH($H$3,リスト!$AE$3:$AE$5,0),
    ROUNDUP(
      BV21*IF(BV21*$I21&lt;=$L21,$J21,$I21)*
      IF($P21=1,
         $S21/12,
         IF(BV$4=1,
            $T21/12,
            IF(BV$4=$P21,
               $U21/12,
               1
      ))),0),
    ROUNDDOWN(
      BV21*IF(BV21*$I21&lt;=$L21,$J21,$I21)*
      IF($P21=1,
         $S21/12,
         IF(BV$4=1,
            $T21/12,
            IF(BV$4=$P21,
               $U21/12,
               1
      ))),0),
    ROUND(
      BV21*IF(BV21*$I21&lt;=$L21,$J21,$I21)*
      IF($P21=1,
         $S21/12,
         IF(BV$4=1,
            $T21/12,
            IF(BV$4=$P21,
               $U21/12,
               1
      ))),0)
))))</f>
        <v>-</v>
      </c>
      <c r="BX21" s="56" t="str">
        <f ca="1">IF($H21=リスト!$AA$4,"-",
   IF($C21="-","-",
     IF(BX$4&gt;$P21,"-",
       IF(BX$4=1,$E21,OFFSET(BX21,0,-2)-OFFSET(BX21,0,-1)
))))</f>
        <v>-</v>
      </c>
      <c r="BY21" s="57" t="str">
        <f>IF($H21=リスト!$AA$4,"-",
 IF($C21="-","-",
  IF(BX$4&gt;$P21,"-",
   CHOOSE(MATCH($H$3,リスト!$AE$3:$AE$5,0),
    ROUNDUP(
      BX21*IF(BX21*$I21&lt;=$L21,$J21,$I21)*
      IF($P21=1,
         $S21/12,
         IF(BX$4=1,
            $T21/12,
            IF(BX$4=$P21,
               $U21/12,
               1
      ))),0),
    ROUNDDOWN(
      BX21*IF(BX21*$I21&lt;=$L21,$J21,$I21)*
      IF($P21=1,
         $S21/12,
         IF(BX$4=1,
            $T21/12,
            IF(BX$4=$P21,
               $U21/12,
               1
      ))),0),
    ROUND(
      BX21*IF(BX21*$I21&lt;=$L21,$J21,$I21)*
      IF($P21=1,
         $S21/12,
         IF(BX$4=1,
            $T21/12,
            IF(BX$4=$P21,
               $U21/12,
               1
      ))),0)
))))</f>
        <v>-</v>
      </c>
      <c r="BZ21" s="56" t="str">
        <f ca="1">IF($H21=リスト!$AA$4,"-",
   IF($C21="-","-",
     IF(BZ$4&gt;$P21,"-",
       IF(BZ$4=1,$E21,OFFSET(BZ21,0,-2)-OFFSET(BZ21,0,-1)
))))</f>
        <v>-</v>
      </c>
      <c r="CA21" s="57" t="str">
        <f>IF($H21=リスト!$AA$4,"-",
 IF($C21="-","-",
  IF(BZ$4&gt;$P21,"-",
   CHOOSE(MATCH($H$3,リスト!$AE$3:$AE$5,0),
    ROUNDUP(
      BZ21*IF(BZ21*$I21&lt;=$L21,$J21,$I21)*
      IF($P21=1,
         $S21/12,
         IF(BZ$4=1,
            $T21/12,
            IF(BZ$4=$P21,
               $U21/12,
               1
      ))),0),
    ROUNDDOWN(
      BZ21*IF(BZ21*$I21&lt;=$L21,$J21,$I21)*
      IF($P21=1,
         $S21/12,
         IF(BZ$4=1,
            $T21/12,
            IF(BZ$4=$P21,
               $U21/12,
               1
      ))),0),
    ROUND(
      BZ21*IF(BZ21*$I21&lt;=$L21,$J21,$I21)*
      IF($P21=1,
         $S21/12,
         IF(BZ$4=1,
            $T21/12,
            IF(BZ$4=$P21,
               $U21/12,
               1
      ))),0)
))))</f>
        <v>-</v>
      </c>
      <c r="CB21" s="56" t="str">
        <f ca="1">IF($H21=リスト!$AA$4,"-",
   IF($C21="-","-",
     IF(CB$4&gt;$P21,"-",
       IF(CB$4=1,$E21,OFFSET(CB21,0,-2)-OFFSET(CB21,0,-1)
))))</f>
        <v>-</v>
      </c>
      <c r="CC21" s="57" t="str">
        <f>IF($H21=リスト!$AA$4,"-",
 IF($C21="-","-",
  IF(CB$4&gt;$P21,"-",
   CHOOSE(MATCH($H$3,リスト!$AE$3:$AE$5,0),
    ROUNDUP(
      CB21*IF(CB21*$I21&lt;=$L21,$J21,$I21)*
      IF($P21=1,
         $S21/12,
         IF(CB$4=1,
            $T21/12,
            IF(CB$4=$P21,
               $U21/12,
               1
      ))),0),
    ROUNDDOWN(
      CB21*IF(CB21*$I21&lt;=$L21,$J21,$I21)*
      IF($P21=1,
         $S21/12,
         IF(CB$4=1,
            $T21/12,
            IF(CB$4=$P21,
               $U21/12,
               1
      ))),0),
    ROUND(
      CB21*IF(CB21*$I21&lt;=$L21,$J21,$I21)*
      IF($P21=1,
         $S21/12,
         IF(CB$4=1,
            $T21/12,
            IF(CB$4=$P21,
               $U21/12,
               1
      ))),0)
))))</f>
        <v>-</v>
      </c>
      <c r="CD21" s="56" t="str">
        <f ca="1">IF($H21=リスト!$AA$4,"-",
   IF($C21="-","-",
     IF(CD$4&gt;$P21,"-",
       IF(CD$4=1,$E21,OFFSET(CD21,0,-2)-OFFSET(CD21,0,-1)
))))</f>
        <v>-</v>
      </c>
      <c r="CE21" s="57" t="str">
        <f>IF($H21=リスト!$AA$4,"-",
 IF($C21="-","-",
  IF(CD$4&gt;$P21,"-",
   CHOOSE(MATCH($H$3,リスト!$AE$3:$AE$5,0),
    ROUNDUP(
      CD21*IF(CD21*$I21&lt;=$L21,$J21,$I21)*
      IF($P21=1,
         $S21/12,
         IF(CD$4=1,
            $T21/12,
            IF(CD$4=$P21,
               $U21/12,
               1
      ))),0),
    ROUNDDOWN(
      CD21*IF(CD21*$I21&lt;=$L21,$J21,$I21)*
      IF($P21=1,
         $S21/12,
         IF(CD$4=1,
            $T21/12,
            IF(CD$4=$P21,
               $U21/12,
               1
      ))),0),
    ROUND(
      CD21*IF(CD21*$I21&lt;=$L21,$J21,$I21)*
      IF($P21=1,
         $S21/12,
         IF(CD$4=1,
            $T21/12,
            IF(CD$4=$P21,
               $U21/12,
               1
      ))),0)
))))</f>
        <v>-</v>
      </c>
      <c r="CF21" s="56" t="str">
        <f ca="1">IF($H21=リスト!$AA$4,"-",
   IF($C21="-","-",
     IF(CF$4&gt;$P21,"-",
       IF(CF$4=1,$E21,OFFSET(CF21,0,-2)-OFFSET(CF21,0,-1)
))))</f>
        <v>-</v>
      </c>
      <c r="CG21" s="57" t="str">
        <f>IF($H21=リスト!$AA$4,"-",
 IF($C21="-","-",
  IF(CF$4&gt;$P21,"-",
   CHOOSE(MATCH($H$3,リスト!$AE$3:$AE$5,0),
    ROUNDUP(
      CF21*IF(CF21*$I21&lt;=$L21,$J21,$I21)*
      IF($P21=1,
         $S21/12,
         IF(CF$4=1,
            $T21/12,
            IF(CF$4=$P21,
               $U21/12,
               1
      ))),0),
    ROUNDDOWN(
      CF21*IF(CF21*$I21&lt;=$L21,$J21,$I21)*
      IF($P21=1,
         $S21/12,
         IF(CF$4=1,
            $T21/12,
            IF(CF$4=$P21,
               $U21/12,
               1
      ))),0),
    ROUND(
      CF21*IF(CF21*$I21&lt;=$L21,$J21,$I21)*
      IF($P21=1,
         $S21/12,
         IF(CF$4=1,
            $T21/12,
            IF(CF$4=$P21,
               $U21/12,
               1
      ))),0)
))))</f>
        <v>-</v>
      </c>
      <c r="CH21" s="56" t="str">
        <f ca="1">IF($H21=リスト!$AA$4,"-",
   IF($C21="-","-",
     IF(CH$4&gt;$P21,"-",
       IF(CH$4=1,$E21,OFFSET(CH21,0,-2)-OFFSET(CH21,0,-1)
))))</f>
        <v>-</v>
      </c>
      <c r="CI21" s="57" t="str">
        <f>IF($H21=リスト!$AA$4,"-",
 IF($C21="-","-",
  IF(CH$4&gt;$P21,"-",
   CHOOSE(MATCH($H$3,リスト!$AE$3:$AE$5,0),
    ROUNDUP(
      CH21*IF(CH21*$I21&lt;=$L21,$J21,$I21)*
      IF($P21=1,
         $S21/12,
         IF(CH$4=1,
            $T21/12,
            IF(CH$4=$P21,
               $U21/12,
               1
      ))),0),
    ROUNDDOWN(
      CH21*IF(CH21*$I21&lt;=$L21,$J21,$I21)*
      IF($P21=1,
         $S21/12,
         IF(CH$4=1,
            $T21/12,
            IF(CH$4=$P21,
               $U21/12,
               1
      ))),0),
    ROUND(
      CH21*IF(CH21*$I21&lt;=$L21,$J21,$I21)*
      IF($P21=1,
         $S21/12,
         IF(CH$4=1,
            $T21/12,
            IF(CH$4=$P21,
               $U21/12,
               1
      ))),0)
))))</f>
        <v>-</v>
      </c>
      <c r="CJ21" s="56" t="str">
        <f ca="1">IF($H21=リスト!$AA$4,"-",
   IF($C21="-","-",
     IF(CJ$4&gt;$P21,"-",
       IF(CJ$4=1,$E21,OFFSET(CJ21,0,-2)-OFFSET(CJ21,0,-1)
))))</f>
        <v>-</v>
      </c>
      <c r="CK21" s="57" t="str">
        <f>IF($H21=リスト!$AA$4,"-",
 IF($C21="-","-",
  IF(CJ$4&gt;$P21,"-",
   CHOOSE(MATCH($H$3,リスト!$AE$3:$AE$5,0),
    ROUNDUP(
      CJ21*IF(CJ21*$I21&lt;=$L21,$J21,$I21)*
      IF($P21=1,
         $S21/12,
         IF(CJ$4=1,
            $T21/12,
            IF(CJ$4=$P21,
               $U21/12,
               1
      ))),0),
    ROUNDDOWN(
      CJ21*IF(CJ21*$I21&lt;=$L21,$J21,$I21)*
      IF($P21=1,
         $S21/12,
         IF(CJ$4=1,
            $T21/12,
            IF(CJ$4=$P21,
               $U21/12,
               1
      ))),0),
    ROUND(
      CJ21*IF(CJ21*$I21&lt;=$L21,$J21,$I21)*
      IF($P21=1,
         $S21/12,
         IF(CJ$4=1,
            $T21/12,
            IF(CJ$4=$P21,
               $U21/12,
               1
      ))),0)
))))</f>
        <v>-</v>
      </c>
      <c r="CL21" s="56" t="str">
        <f ca="1">IF($H21=リスト!$AA$4,"-",
   IF($C21="-","-",
     IF(CL$4&gt;$P21,"-",
       IF(CL$4=1,$E21,OFFSET(CL21,0,-2)-OFFSET(CL21,0,-1)
))))</f>
        <v>-</v>
      </c>
      <c r="CM21" s="57" t="str">
        <f>IF($H21=リスト!$AA$4,"-",
 IF($C21="-","-",
  IF(CL$4&gt;$P21,"-",
   CHOOSE(MATCH($H$3,リスト!$AE$3:$AE$5,0),
    ROUNDUP(
      CL21*IF(CL21*$I21&lt;=$L21,$J21,$I21)*
      IF($P21=1,
         $S21/12,
         IF(CL$4=1,
            $T21/12,
            IF(CL$4=$P21,
               $U21/12,
               1
      ))),0),
    ROUNDDOWN(
      CL21*IF(CL21*$I21&lt;=$L21,$J21,$I21)*
      IF($P21=1,
         $S21/12,
         IF(CL$4=1,
            $T21/12,
            IF(CL$4=$P21,
               $U21/12,
               1
      ))),0),
    ROUND(
      CL21*IF(CL21*$I21&lt;=$L21,$J21,$I21)*
      IF($P21=1,
         $S21/12,
         IF(CL$4=1,
            $T21/12,
            IF(CL$4=$P21,
               $U21/12,
               1
      ))),0)
))))</f>
        <v>-</v>
      </c>
      <c r="CN21" s="56" t="str">
        <f ca="1">IF($H21=リスト!$AA$4,"-",
   IF($C21="-","-",
     IF(CN$4&gt;$P21,"-",
       IF(CN$4=1,$E21,OFFSET(CN21,0,-2)-OFFSET(CN21,0,-1)
))))</f>
        <v>-</v>
      </c>
      <c r="CO21" s="57" t="str">
        <f>IF($H21=リスト!$AA$4,"-",
 IF($C21="-","-",
  IF(CN$4&gt;$P21,"-",
   CHOOSE(MATCH($H$3,リスト!$AE$3:$AE$5,0),
    ROUNDUP(
      CN21*IF(CN21*$I21&lt;=$L21,$J21,$I21)*
      IF($P21=1,
         $S21/12,
         IF(CN$4=1,
            $T21/12,
            IF(CN$4=$P21,
               $U21/12,
               1
      ))),0),
    ROUNDDOWN(
      CN21*IF(CN21*$I21&lt;=$L21,$J21,$I21)*
      IF($P21=1,
         $S21/12,
         IF(CN$4=1,
            $T21/12,
            IF(CN$4=$P21,
               $U21/12,
               1
      ))),0),
    ROUND(
      CN21*IF(CN21*$I21&lt;=$L21,$J21,$I21)*
      IF($P21=1,
         $S21/12,
         IF(CN$4=1,
            $T21/12,
            IF(CN$4=$P21,
               $U21/12,
               1
      ))),0)
))))</f>
        <v>-</v>
      </c>
      <c r="CP21" s="56" t="str">
        <f ca="1">IF($H21=リスト!$AA$4,"-",
   IF($C21="-","-",
     IF(CP$4&gt;$P21,"-",
       IF(CP$4=1,$E21,OFFSET(CP21,0,-2)-OFFSET(CP21,0,-1)
))))</f>
        <v>-</v>
      </c>
      <c r="CQ21" s="57" t="str">
        <f>IF($H21=リスト!$AA$4,"-",
 IF($C21="-","-",
  IF(CP$4&gt;$P21,"-",
   CHOOSE(MATCH($H$3,リスト!$AE$3:$AE$5,0),
    ROUNDUP(
      CP21*IF(CP21*$I21&lt;=$L21,$J21,$I21)*
      IF($P21=1,
         $S21/12,
         IF(CP$4=1,
            $T21/12,
            IF(CP$4=$P21,
               $U21/12,
               1
      ))),0),
    ROUNDDOWN(
      CP21*IF(CP21*$I21&lt;=$L21,$J21,$I21)*
      IF($P21=1,
         $S21/12,
         IF(CP$4=1,
            $T21/12,
            IF(CP$4=$P21,
               $U21/12,
               1
      ))),0),
    ROUND(
      CP21*IF(CP21*$I21&lt;=$L21,$J21,$I21)*
      IF($P21=1,
         $S21/12,
         IF(CP$4=1,
            $T21/12,
            IF(CP$4=$P21,
               $U21/12,
               1
      ))),0)
))))</f>
        <v>-</v>
      </c>
      <c r="CR21" s="56" t="str">
        <f ca="1">IF($H21=リスト!$AA$4,"-",
   IF($C21="-","-",
     IF(CR$4&gt;$P21,"-",
       IF(CR$4=1,$E21,OFFSET(CR21,0,-2)-OFFSET(CR21,0,-1)
))))</f>
        <v>-</v>
      </c>
      <c r="CS21" s="57" t="str">
        <f>IF($H21=リスト!$AA$4,"-",
 IF($C21="-","-",
  IF(CR$4&gt;$P21,"-",
   CHOOSE(MATCH($H$3,リスト!$AE$3:$AE$5,0),
    ROUNDUP(
      CR21*IF(CR21*$I21&lt;=$L21,$J21,$I21)*
      IF($P21=1,
         $S21/12,
         IF(CR$4=1,
            $T21/12,
            IF(CR$4=$P21,
               $U21/12,
               1
      ))),0),
    ROUNDDOWN(
      CR21*IF(CR21*$I21&lt;=$L21,$J21,$I21)*
      IF($P21=1,
         $S21/12,
         IF(CR$4=1,
            $T21/12,
            IF(CR$4=$P21,
               $U21/12,
               1
      ))),0),
    ROUND(
      CR21*IF(CR21*$I21&lt;=$L21,$J21,$I21)*
      IF($P21=1,
         $S21/12,
         IF(CR$4=1,
            $T21/12,
            IF(CR$4=$P21,
               $U21/12,
               1
      ))),0)
))))</f>
        <v>-</v>
      </c>
      <c r="CT21" s="56" t="str">
        <f ca="1">IF($H21=リスト!$AA$4,"-",
   IF($C21="-","-",
     IF(CT$4&gt;$P21,"-",
       IF(CT$4=1,$E21,OFFSET(CT21,0,-2)-OFFSET(CT21,0,-1)
))))</f>
        <v>-</v>
      </c>
      <c r="CU21" s="57" t="str">
        <f>IF($H21=リスト!$AA$4,"-",
 IF($C21="-","-",
  IF(CT$4&gt;$P21,"-",
   CHOOSE(MATCH($H$3,リスト!$AE$3:$AE$5,0),
    ROUNDUP(
      CT21*IF(CT21*$I21&lt;=$L21,$J21,$I21)*
      IF($P21=1,
         $S21/12,
         IF(CT$4=1,
            $T21/12,
            IF(CT$4=$P21,
               $U21/12,
               1
      ))),0),
    ROUNDDOWN(
      CT21*IF(CT21*$I21&lt;=$L21,$J21,$I21)*
      IF($P21=1,
         $S21/12,
         IF(CT$4=1,
            $T21/12,
            IF(CT$4=$P21,
               $U21/12,
               1
      ))),0),
    ROUND(
      CT21*IF(CT21*$I21&lt;=$L21,$J21,$I21)*
      IF($P21=1,
         $S21/12,
         IF(CT$4=1,
            $T21/12,
            IF(CT$4=$P21,
               $U21/12,
               1
      ))),0)
))))</f>
        <v>-</v>
      </c>
      <c r="CV21" s="56" t="str">
        <f ca="1">IF($H21=リスト!$AA$4,"-",
   IF($C21="-","-",
     IF(CV$4&gt;$P21,"-",
       IF(CV$4=1,$E21,OFFSET(CV21,0,-2)-OFFSET(CV21,0,-1)
))))</f>
        <v>-</v>
      </c>
      <c r="CW21" s="57" t="str">
        <f>IF($H21=リスト!$AA$4,"-",
 IF($C21="-","-",
  IF(CV$4&gt;$P21,"-",
   CHOOSE(MATCH($H$3,リスト!$AE$3:$AE$5,0),
    ROUNDUP(
      CV21*IF(CV21*$I21&lt;=$L21,$J21,$I21)*
      IF($P21=1,
         $S21/12,
         IF(CV$4=1,
            $T21/12,
            IF(CV$4=$P21,
               $U21/12,
               1
      ))),0),
    ROUNDDOWN(
      CV21*IF(CV21*$I21&lt;=$L21,$J21,$I21)*
      IF($P21=1,
         $S21/12,
         IF(CV$4=1,
            $T21/12,
            IF(CV$4=$P21,
               $U21/12,
               1
      ))),0),
    ROUND(
      CV21*IF(CV21*$I21&lt;=$L21,$J21,$I21)*
      IF($P21=1,
         $S21/12,
         IF(CV$4=1,
            $T21/12,
            IF(CV$4=$P21,
               $U21/12,
               1
      ))),0)
))))</f>
        <v>-</v>
      </c>
      <c r="CX21" s="56" t="str">
        <f ca="1">IF($H21=リスト!$AA$4,"-",
   IF($C21="-","-",
     IF(CX$4&gt;$P21,"-",
       IF(CX$4=1,$E21,OFFSET(CX21,0,-2)-OFFSET(CX21,0,-1)
))))</f>
        <v>-</v>
      </c>
      <c r="CY21" s="57" t="str">
        <f>IF($H21=リスト!$AA$4,"-",
 IF($C21="-","-",
  IF(CX$4&gt;$P21,"-",
   CHOOSE(MATCH($H$3,リスト!$AE$3:$AE$5,0),
    ROUNDUP(
      CX21*IF(CX21*$I21&lt;=$L21,$J21,$I21)*
      IF($P21=1,
         $S21/12,
         IF(CX$4=1,
            $T21/12,
            IF(CX$4=$P21,
               $U21/12,
               1
      ))),0),
    ROUNDDOWN(
      CX21*IF(CX21*$I21&lt;=$L21,$J21,$I21)*
      IF($P21=1,
         $S21/12,
         IF(CX$4=1,
            $T21/12,
            IF(CX$4=$P21,
               $U21/12,
               1
      ))),0),
    ROUND(
      CX21*IF(CX21*$I21&lt;=$L21,$J21,$I21)*
      IF($P21=1,
         $S21/12,
         IF(CX$4=1,
            $T21/12,
            IF(CX$4=$P21,
               $U21/12,
               1
      ))),0)
))))</f>
        <v>-</v>
      </c>
      <c r="CZ21" s="56" t="str">
        <f ca="1">IF($H21=リスト!$AA$4,"-",
   IF($C21="-","-",
     IF(CZ$4&gt;$P21,"-",
       IF(CZ$4=1,$E21,OFFSET(CZ21,0,-2)-OFFSET(CZ21,0,-1)
))))</f>
        <v>-</v>
      </c>
      <c r="DA21" s="57" t="str">
        <f>IF($H21=リスト!$AA$4,"-",
 IF($C21="-","-",
  IF(CZ$4&gt;$P21,"-",
   CHOOSE(MATCH($H$3,リスト!$AE$3:$AE$5,0),
    ROUNDUP(
      CZ21*IF(CZ21*$I21&lt;=$L21,$J21,$I21)*
      IF($P21=1,
         $S21/12,
         IF(CZ$4=1,
            $T21/12,
            IF(CZ$4=$P21,
               $U21/12,
               1
      ))),0),
    ROUNDDOWN(
      CZ21*IF(CZ21*$I21&lt;=$L21,$J21,$I21)*
      IF($P21=1,
         $S21/12,
         IF(CZ$4=1,
            $T21/12,
            IF(CZ$4=$P21,
               $U21/12,
               1
      ))),0),
    ROUND(
      CZ21*IF(CZ21*$I21&lt;=$L21,$J21,$I21)*
      IF($P21=1,
         $S21/12,
         IF(CZ$4=1,
            $T21/12,
            IF(CZ$4=$P21,
               $U21/12,
               1
      ))),0)
))))</f>
        <v>-</v>
      </c>
      <c r="DB21" s="56" t="str">
        <f ca="1">IF($H21=リスト!$AA$4,"-",
   IF($C21="-","-",
     IF(DB$4&gt;$P21,"-",
       IF(DB$4=1,$E21,OFFSET(DB21,0,-2)-OFFSET(DB21,0,-1)
))))</f>
        <v>-</v>
      </c>
      <c r="DC21" s="57" t="str">
        <f>IF($H21=リスト!$AA$4,"-",
 IF($C21="-","-",
  IF(DB$4&gt;$P21,"-",
   CHOOSE(MATCH($H$3,リスト!$AE$3:$AE$5,0),
    ROUNDUP(
      DB21*IF(DB21*$I21&lt;=$L21,$J21,$I21)*
      IF($P21=1,
         $S21/12,
         IF(DB$4=1,
            $T21/12,
            IF(DB$4=$P21,
               $U21/12,
               1
      ))),0),
    ROUNDDOWN(
      DB21*IF(DB21*$I21&lt;=$L21,$J21,$I21)*
      IF($P21=1,
         $S21/12,
         IF(DB$4=1,
            $T21/12,
            IF(DB$4=$P21,
               $U21/12,
               1
      ))),0),
    ROUND(
      DB21*IF(DB21*$I21&lt;=$L21,$J21,$I21)*
      IF($P21=1,
         $S21/12,
         IF(DB$4=1,
            $T21/12,
            IF(DB$4=$P21,
               $U21/12,
               1
      ))),0)
))))</f>
        <v>-</v>
      </c>
      <c r="DD21" s="56" t="str">
        <f ca="1">IF($H21=リスト!$AA$4,"-",
   IF($C21="-","-",
     IF(DD$4&gt;$P21,"-",
       IF(DD$4=1,$E21,OFFSET(DD21,0,-2)-OFFSET(DD21,0,-1)
))))</f>
        <v>-</v>
      </c>
      <c r="DE21" s="57" t="str">
        <f>IF($H21=リスト!$AA$4,"-",
 IF($C21="-","-",
  IF(DD$4&gt;$P21,"-",
   CHOOSE(MATCH($H$3,リスト!$AE$3:$AE$5,0),
    ROUNDUP(
      DD21*IF(DD21*$I21&lt;=$L21,$J21,$I21)*
      IF($P21=1,
         $S21/12,
         IF(DD$4=1,
            $T21/12,
            IF(DD$4=$P21,
               $U21/12,
               1
      ))),0),
    ROUNDDOWN(
      DD21*IF(DD21*$I21&lt;=$L21,$J21,$I21)*
      IF($P21=1,
         $S21/12,
         IF(DD$4=1,
            $T21/12,
            IF(DD$4=$P21,
               $U21/12,
               1
      ))),0),
    ROUND(
      DD21*IF(DD21*$I21&lt;=$L21,$J21,$I21)*
      IF($P21=1,
         $S21/12,
         IF(DD$4=1,
            $T21/12,
            IF(DD$4=$P21,
               $U21/12,
               1
      ))),0)
))))</f>
        <v>-</v>
      </c>
      <c r="DF21" s="56" t="str">
        <f ca="1">IF($H21=リスト!$AA$4,"-",
   IF($C21="-","-",
     IF(DF$4&gt;$P21,"-",
       IF(DF$4=1,$E21,OFFSET(DF21,0,-2)-OFFSET(DF21,0,-1)
))))</f>
        <v>-</v>
      </c>
      <c r="DG21" s="57" t="str">
        <f>IF($H21=リスト!$AA$4,"-",
 IF($C21="-","-",
  IF(DF$4&gt;$P21,"-",
   CHOOSE(MATCH($H$3,リスト!$AE$3:$AE$5,0),
    ROUNDUP(
      DF21*IF(DF21*$I21&lt;=$L21,$J21,$I21)*
      IF($P21=1,
         $S21/12,
         IF(DF$4=1,
            $T21/12,
            IF(DF$4=$P21,
               $U21/12,
               1
      ))),0),
    ROUNDDOWN(
      DF21*IF(DF21*$I21&lt;=$L21,$J21,$I21)*
      IF($P21=1,
         $S21/12,
         IF(DF$4=1,
            $T21/12,
            IF(DF$4=$P21,
               $U21/12,
               1
      ))),0),
    ROUND(
      DF21*IF(DF21*$I21&lt;=$L21,$J21,$I21)*
      IF($P21=1,
         $S21/12,
         IF(DF$4=1,
            $T21/12,
            IF(DF$4=$P21,
               $U21/12,
               1
      ))),0)
))))</f>
        <v>-</v>
      </c>
      <c r="DH21" s="56" t="str">
        <f ca="1">IF($H21=リスト!$AA$4,"-",
   IF($C21="-","-",
     IF(DH$4&gt;$P21,"-",
       IF(DH$4=1,$E21,OFFSET(DH21,0,-2)-OFFSET(DH21,0,-1)
))))</f>
        <v>-</v>
      </c>
      <c r="DI21" s="57" t="str">
        <f>IF($H21=リスト!$AA$4,"-",
 IF($C21="-","-",
  IF(DH$4&gt;$P21,"-",
   CHOOSE(MATCH($H$3,リスト!$AE$3:$AE$5,0),
    ROUNDUP(
      DH21*IF(DH21*$I21&lt;=$L21,$J21,$I21)*
      IF($P21=1,
         $S21/12,
         IF(DH$4=1,
            $T21/12,
            IF(DH$4=$P21,
               $U21/12,
               1
      ))),0),
    ROUNDDOWN(
      DH21*IF(DH21*$I21&lt;=$L21,$J21,$I21)*
      IF($P21=1,
         $S21/12,
         IF(DH$4=1,
            $T21/12,
            IF(DH$4=$P21,
               $U21/12,
               1
      ))),0),
    ROUND(
      DH21*IF(DH21*$I21&lt;=$L21,$J21,$I21)*
      IF($P21=1,
         $S21/12,
         IF(DH$4=1,
            $T21/12,
            IF(DH$4=$P21,
               $U21/12,
               1
      ))),0)
))))</f>
        <v>-</v>
      </c>
      <c r="DJ21" s="56" t="str">
        <f ca="1">IF($H21=リスト!$AA$4,"-",
   IF($C21="-","-",
     IF(DJ$4&gt;$P21,"-",
       IF(DJ$4=1,$E21,OFFSET(DJ21,0,-2)-OFFSET(DJ21,0,-1)
))))</f>
        <v>-</v>
      </c>
      <c r="DK21" s="57" t="str">
        <f>IF($H21=リスト!$AA$4,"-",
 IF($C21="-","-",
  IF(DJ$4&gt;$P21,"-",
   CHOOSE(MATCH($H$3,リスト!$AE$3:$AE$5,0),
    ROUNDUP(
      DJ21*IF(DJ21*$I21&lt;=$L21,$J21,$I21)*
      IF($P21=1,
         $S21/12,
         IF(DJ$4=1,
            $T21/12,
            IF(DJ$4=$P21,
               $U21/12,
               1
      ))),0),
    ROUNDDOWN(
      DJ21*IF(DJ21*$I21&lt;=$L21,$J21,$I21)*
      IF($P21=1,
         $S21/12,
         IF(DJ$4=1,
            $T21/12,
            IF(DJ$4=$P21,
               $U21/12,
               1
      ))),0),
    ROUND(
      DJ21*IF(DJ21*$I21&lt;=$L21,$J21,$I21)*
      IF($P21=1,
         $S21/12,
         IF(DJ$4=1,
            $T21/12,
            IF(DJ$4=$P21,
               $U21/12,
               1
      ))),0)
))))</f>
        <v>-</v>
      </c>
      <c r="DL21" s="56" t="str">
        <f ca="1">IF($H21=リスト!$AA$4,"-",
   IF($C21="-","-",
     IF(DL$4&gt;$P21,"-",
       IF(DL$4=1,$E21,OFFSET(DL21,0,-2)-OFFSET(DL21,0,-1)
))))</f>
        <v>-</v>
      </c>
      <c r="DM21" s="57" t="str">
        <f>IF($H21=リスト!$AA$4,"-",
 IF($C21="-","-",
  IF(DL$4&gt;$P21,"-",
   CHOOSE(MATCH($H$3,リスト!$AE$3:$AE$5,0),
    ROUNDUP(
      DL21*IF(DL21*$I21&lt;=$L21,$J21,$I21)*
      IF($P21=1,
         $S21/12,
         IF(DL$4=1,
            $T21/12,
            IF(DL$4=$P21,
               $U21/12,
               1
      ))),0),
    ROUNDDOWN(
      DL21*IF(DL21*$I21&lt;=$L21,$J21,$I21)*
      IF($P21=1,
         $S21/12,
         IF(DL$4=1,
            $T21/12,
            IF(DL$4=$P21,
               $U21/12,
               1
      ))),0),
    ROUND(
      DL21*IF(DL21*$I21&lt;=$L21,$J21,$I21)*
      IF($P21=1,
         $S21/12,
         IF(DL$4=1,
            $T21/12,
            IF(DL$4=$P21,
               $U21/12,
               1
      ))),0)
))))</f>
        <v>-</v>
      </c>
      <c r="DN21" s="56" t="str">
        <f ca="1">IF($H21=リスト!$AA$4,"-",
   IF($C21="-","-",
     IF(DN$4&gt;$P21,"-",
       IF(DN$4=1,$E21,OFFSET(DN21,0,-2)-OFFSET(DN21,0,-1)
))))</f>
        <v>-</v>
      </c>
      <c r="DO21" s="57" t="str">
        <f>IF($H21=リスト!$AA$4,"-",
 IF($C21="-","-",
  IF(DN$4&gt;$P21,"-",
   CHOOSE(MATCH($H$3,リスト!$AE$3:$AE$5,0),
    ROUNDUP(
      DN21*IF(DN21*$I21&lt;=$L21,$J21,$I21)*
      IF($P21=1,
         $S21/12,
         IF(DN$4=1,
            $T21/12,
            IF(DN$4=$P21,
               $U21/12,
               1
      ))),0),
    ROUNDDOWN(
      DN21*IF(DN21*$I21&lt;=$L21,$J21,$I21)*
      IF($P21=1,
         $S21/12,
         IF(DN$4=1,
            $T21/12,
            IF(DN$4=$P21,
               $U21/12,
               1
      ))),0),
    ROUND(
      DN21*IF(DN21*$I21&lt;=$L21,$J21,$I21)*
      IF($P21=1,
         $S21/12,
         IF(DN$4=1,
            $T21/12,
            IF(DN$4=$P21,
               $U21/12,
               1
      ))),0)
))))</f>
        <v>-</v>
      </c>
      <c r="DP21" s="56" t="str">
        <f ca="1">IF($H21=リスト!$AA$4,"-",
   IF($C21="-","-",
     IF(DP$4&gt;$P21,"-",
       IF(DP$4=1,$E21,OFFSET(DP21,0,-2)-OFFSET(DP21,0,-1)
))))</f>
        <v>-</v>
      </c>
      <c r="DQ21" s="57" t="str">
        <f>IF($H21=リスト!$AA$4,"-",
 IF($C21="-","-",
  IF(DP$4&gt;$P21,"-",
   CHOOSE(MATCH($H$3,リスト!$AE$3:$AE$5,0),
    ROUNDUP(
      DP21*IF(DP21*$I21&lt;=$L21,$J21,$I21)*
      IF($P21=1,
         $S21/12,
         IF(DP$4=1,
            $T21/12,
            IF(DP$4=$P21,
               $U21/12,
               1
      ))),0),
    ROUNDDOWN(
      DP21*IF(DP21*$I21&lt;=$L21,$J21,$I21)*
      IF($P21=1,
         $S21/12,
         IF(DP$4=1,
            $T21/12,
            IF(DP$4=$P21,
               $U21/12,
               1
      ))),0),
    ROUND(
      DP21*IF(DP21*$I21&lt;=$L21,$J21,$I21)*
      IF($P21=1,
         $S21/12,
         IF(DP$4=1,
            $T21/12,
            IF(DP$4=$P21,
               $U21/12,
               1
      ))),0)
))))</f>
        <v>-</v>
      </c>
      <c r="DR21" s="56" t="str">
        <f ca="1">IF($H21=リスト!$AA$4,"-",
   IF($C21="-","-",
     IF(DR$4&gt;$P21,"-",
       IF(DR$4=1,$E21,OFFSET(DR21,0,-2)-OFFSET(DR21,0,-1)
))))</f>
        <v>-</v>
      </c>
      <c r="DS21" s="57" t="str">
        <f>IF($H21=リスト!$AA$4,"-",
 IF($C21="-","-",
  IF(DR$4&gt;$P21,"-",
   CHOOSE(MATCH($H$3,リスト!$AE$3:$AE$5,0),
    ROUNDUP(
      DR21*IF(DR21*$I21&lt;=$L21,$J21,$I21)*
      IF($P21=1,
         $S21/12,
         IF(DR$4=1,
            $T21/12,
            IF(DR$4=$P21,
               $U21/12,
               1
      ))),0),
    ROUNDDOWN(
      DR21*IF(DR21*$I21&lt;=$L21,$J21,$I21)*
      IF($P21=1,
         $S21/12,
         IF(DR$4=1,
            $T21/12,
            IF(DR$4=$P21,
               $U21/12,
               1
      ))),0),
    ROUND(
      DR21*IF(DR21*$I21&lt;=$L21,$J21,$I21)*
      IF($P21=1,
         $S21/12,
         IF(DR$4=1,
            $T21/12,
            IF(DR$4=$P21,
               $U21/12,
               1
      ))),0)
))))</f>
        <v>-</v>
      </c>
      <c r="DT21" s="56" t="str" cm="1">
        <f t="array" ref="DT21">IF($H21&lt;&gt;リスト!$AA$3,"-",$E21-SUMPRODUCT(IFERROR($Y21:$DS21*1,0), --(MOD(COLUMN($Y21:$DS21)-COLUMN($Y21),2)=0)))</f>
        <v>-</v>
      </c>
      <c r="DU21" s="56" t="str">
        <f>IF($H21&lt;&gt;リスト!$AA$4,"-",
    IF($H$3=リスト!$AE$3,$E21-ROUNDUP($E21*I21*$W21/12,0),
    IF($H$3=リスト!$AE$4,$E21-ROUNDDOWN($E21*I21*$W21/12,0),
    IF($H$3=リスト!$AE$5,$E21-ROUND($E21*I21*$W21/12,0),
    "-"))))</f>
        <v>-</v>
      </c>
    </row>
    <row r="22" spans="2:125">
      <c r="B22" s="54">
        <v>17</v>
      </c>
      <c r="C22" s="55" t="str">
        <f>IF(財産処分報告用!$C22="","-",財産処分報告用!$C22)</f>
        <v>-</v>
      </c>
      <c r="D22" s="55" t="str">
        <f>財産処分報告用!$E22</f>
        <v>-</v>
      </c>
      <c r="E22" s="56" t="str">
        <f>IF(財産処分報告用!$J22="","-",財産処分報告用!$J22)</f>
        <v>-</v>
      </c>
      <c r="F22" s="101" t="str">
        <f>IF(財産処分報告用!$K22="","-",財産処分報告用!$K22)</f>
        <v>-</v>
      </c>
      <c r="G22" s="101" t="str">
        <f>IF(財産処分報告用!$L22="","-",財産処分報告用!$L22)</f>
        <v>-</v>
      </c>
      <c r="H22" s="55" t="str">
        <f>IF(財産処分報告用!$M22="","-",財産処分報告用!$M22)</f>
        <v>-</v>
      </c>
      <c r="I22" s="55" t="str">
        <f>IF(OR($D22="-",$H22="-"),"-",INDEX(リスト!$AG$2:$AI$101,MATCH($D22,リスト!$AG$2:$AG$101,0),MATCH($H22,リスト!$AG$2:$AI$2,0)))</f>
        <v>-</v>
      </c>
      <c r="J22" s="55" t="str">
        <f>IF(OR($D22="-",$H22="-"),"-",IF($H22=リスト!$AA$4,"-",INDEX(リスト!$AG$2:$AK$101,MATCH($D22,リスト!$AG$2:$AG$101,0),4)))</f>
        <v>-</v>
      </c>
      <c r="K22" s="55" t="str">
        <f>IF(OR($D22="-",$H22="-"),"-",IF($H22=リスト!$AA$4,"-",INDEX(リスト!$AG$2:$AK$101,MATCH($D22,リスト!$AG$2:$AG$101,0),5)))</f>
        <v>-</v>
      </c>
      <c r="L22" s="55" t="str">
        <f t="shared" si="0"/>
        <v>-</v>
      </c>
      <c r="M22" s="101" t="str">
        <f t="shared" si="1"/>
        <v>-</v>
      </c>
      <c r="N22" s="101" t="str">
        <f t="shared" si="2"/>
        <v>-</v>
      </c>
      <c r="O22" s="101" t="str">
        <f t="shared" si="3"/>
        <v>-</v>
      </c>
      <c r="P22" s="102" t="str">
        <f t="shared" si="4"/>
        <v>-</v>
      </c>
      <c r="Q22" s="115" t="str">
        <f t="shared" si="5"/>
        <v>-</v>
      </c>
      <c r="R22" s="116" t="str">
        <f t="shared" si="6"/>
        <v>-</v>
      </c>
      <c r="S22" s="102" t="str">
        <f t="shared" si="7"/>
        <v>-</v>
      </c>
      <c r="T22" s="102" t="str">
        <f t="shared" si="8"/>
        <v>-</v>
      </c>
      <c r="U22" s="102" t="str">
        <f t="shared" si="9"/>
        <v>-</v>
      </c>
      <c r="V22" s="102" t="str">
        <f t="shared" si="10"/>
        <v>-</v>
      </c>
      <c r="W22" s="55" t="str">
        <f t="shared" si="11"/>
        <v>-</v>
      </c>
      <c r="X22" s="56" t="str">
        <f ca="1">IF($H22=リスト!$AA$4,"-",
   IF($C22="-","-",
     IF(X$4&gt;$P22,"-",
       IF(X$4=1,$E22,OFFSET(X22,0,-2)-OFFSET(X22,0,-1)
))))</f>
        <v>-</v>
      </c>
      <c r="Y22" s="57" t="str">
        <f>IF($H22=リスト!$AA$4,"-",
 IF($C22="-","-",
  IF(X$4&gt;$P22,"-",
   CHOOSE(MATCH($H$3,リスト!$AE$3:$AE$5,0),
    ROUNDUP(
      X22*IF(X22*$I22&lt;=$L22,$J22,$I22)*
      IF($P22=1,
         $S22/12,
         IF(X$4=1,
            $T22/12,
            IF(X$4=$P22,
               $U22/12,
               1
      ))),0),
    ROUNDDOWN(
      X22*IF(X22*$I22&lt;=$L22,$J22,$I22)*
      IF($P22=1,
         $S22/12,
         IF(X$4=1,
            $T22/12,
            IF(X$4=$P22,
               $U22/12,
               1
      ))),0),
    ROUND(
      X22*IF(X22*$I22&lt;=$L22,$J22,$I22)*
      IF($P22=1,
         $S22/12,
         IF(X$4=1,
            $T22/12,
            IF(X$4=$P22,
               $U22/12,
               1
      ))),0)
))))</f>
        <v>-</v>
      </c>
      <c r="Z22" s="56" t="str">
        <f ca="1">IF($H22=リスト!$AA$4,"-",
   IF($C22="-","-",
     IF(Z$4&gt;$P22,"-",
       IF(Z$4=1,$E22,OFFSET(Z22,0,-2)-OFFSET(Z22,0,-1)
))))</f>
        <v>-</v>
      </c>
      <c r="AA22" s="57" t="str">
        <f>IF($H22=リスト!$AA$4,"-",
 IF($C22="-","-",
  IF(Z$4&gt;$P22,"-",
   CHOOSE(MATCH($H$3,リスト!$AE$3:$AE$5,0),
    ROUNDUP(
      Z22*IF(Z22*$I22&lt;=$L22,$J22,$I22)*
      IF($P22=1,
         $S22/12,
         IF(Z$4=1,
            $T22/12,
            IF(Z$4=$P22,
               $U22/12,
               1
      ))),0),
    ROUNDDOWN(
      Z22*IF(Z22*$I22&lt;=$L22,$J22,$I22)*
      IF($P22=1,
         $S22/12,
         IF(Z$4=1,
            $T22/12,
            IF(Z$4=$P22,
               $U22/12,
               1
      ))),0),
    ROUND(
      Z22*IF(Z22*$I22&lt;=$L22,$J22,$I22)*
      IF($P22=1,
         $S22/12,
         IF(Z$4=1,
            $T22/12,
            IF(Z$4=$P22,
               $U22/12,
               1
      ))),0)
))))</f>
        <v>-</v>
      </c>
      <c r="AB22" s="56" t="str">
        <f ca="1">IF($H22=リスト!$AA$4,"-",
   IF($C22="-","-",
     IF(AB$4&gt;$P22,"-",
       IF(AB$4=1,$E22,OFFSET(AB22,0,-2)-OFFSET(AB22,0,-1)
))))</f>
        <v>-</v>
      </c>
      <c r="AC22" s="57" t="str">
        <f>IF($H22=リスト!$AA$4,"-",
 IF($C22="-","-",
  IF(AB$4&gt;$P22,"-",
   CHOOSE(MATCH($H$3,リスト!$AE$3:$AE$5,0),
    ROUNDUP(
      AB22*IF(AB22*$I22&lt;=$L22,$J22,$I22)*
      IF($P22=1,
         $S22/12,
         IF(AB$4=1,
            $T22/12,
            IF(AB$4=$P22,
               $U22/12,
               1
      ))),0),
    ROUNDDOWN(
      AB22*IF(AB22*$I22&lt;=$L22,$J22,$I22)*
      IF($P22=1,
         $S22/12,
         IF(AB$4=1,
            $T22/12,
            IF(AB$4=$P22,
               $U22/12,
               1
      ))),0),
    ROUND(
      AB22*IF(AB22*$I22&lt;=$L22,$J22,$I22)*
      IF($P22=1,
         $S22/12,
         IF(AB$4=1,
            $T22/12,
            IF(AB$4=$P22,
               $U22/12,
               1
      ))),0)
))))</f>
        <v>-</v>
      </c>
      <c r="AD22" s="56" t="str">
        <f ca="1">IF($H22=リスト!$AA$4,"-",
   IF($C22="-","-",
     IF(AD$4&gt;$P22,"-",
       IF(AD$4=1,$E22,OFFSET(AD22,0,-2)-OFFSET(AD22,0,-1)
))))</f>
        <v>-</v>
      </c>
      <c r="AE22" s="57" t="str">
        <f>IF($H22=リスト!$AA$4,"-",
 IF($C22="-","-",
  IF(AD$4&gt;$P22,"-",
   CHOOSE(MATCH($H$3,リスト!$AE$3:$AE$5,0),
    ROUNDUP(
      AD22*IF(AD22*$I22&lt;=$L22,$J22,$I22)*
      IF($P22=1,
         $S22/12,
         IF(AD$4=1,
            $T22/12,
            IF(AD$4=$P22,
               $U22/12,
               1
      ))),0),
    ROUNDDOWN(
      AD22*IF(AD22*$I22&lt;=$L22,$J22,$I22)*
      IF($P22=1,
         $S22/12,
         IF(AD$4=1,
            $T22/12,
            IF(AD$4=$P22,
               $U22/12,
               1
      ))),0),
    ROUND(
      AD22*IF(AD22*$I22&lt;=$L22,$J22,$I22)*
      IF($P22=1,
         $S22/12,
         IF(AD$4=1,
            $T22/12,
            IF(AD$4=$P22,
               $U22/12,
               1
      ))),0)
))))</f>
        <v>-</v>
      </c>
      <c r="AF22" s="56" t="str">
        <f ca="1">IF($H22=リスト!$AA$4,"-",
   IF($C22="-","-",
     IF(AF$4&gt;$P22,"-",
       IF(AF$4=1,$E22,OFFSET(AF22,0,-2)-OFFSET(AF22,0,-1)
))))</f>
        <v>-</v>
      </c>
      <c r="AG22" s="57" t="str">
        <f>IF($H22=リスト!$AA$4,"-",
 IF($C22="-","-",
  IF(AF$4&gt;$P22,"-",
   CHOOSE(MATCH($H$3,リスト!$AE$3:$AE$5,0),
    ROUNDUP(
      AF22*IF(AF22*$I22&lt;=$L22,$J22,$I22)*
      IF($P22=1,
         $S22/12,
         IF(AF$4=1,
            $T22/12,
            IF(AF$4=$P22,
               $U22/12,
               1
      ))),0),
    ROUNDDOWN(
      AF22*IF(AF22*$I22&lt;=$L22,$J22,$I22)*
      IF($P22=1,
         $S22/12,
         IF(AF$4=1,
            $T22/12,
            IF(AF$4=$P22,
               $U22/12,
               1
      ))),0),
    ROUND(
      AF22*IF(AF22*$I22&lt;=$L22,$J22,$I22)*
      IF($P22=1,
         $S22/12,
         IF(AF$4=1,
            $T22/12,
            IF(AF$4=$P22,
               $U22/12,
               1
      ))),0)
))))</f>
        <v>-</v>
      </c>
      <c r="AH22" s="56" t="str">
        <f ca="1">IF($H22=リスト!$AA$4,"-",
   IF($C22="-","-",
     IF(AH$4&gt;$P22,"-",
       IF(AH$4=1,$E22,OFFSET(AH22,0,-2)-OFFSET(AH22,0,-1)
))))</f>
        <v>-</v>
      </c>
      <c r="AI22" s="57" t="str">
        <f>IF($H22=リスト!$AA$4,"-",
 IF($C22="-","-",
  IF(AH$4&gt;$P22,"-",
   CHOOSE(MATCH($H$3,リスト!$AE$3:$AE$5,0),
    ROUNDUP(
      AH22*IF(AH22*$I22&lt;=$L22,$J22,$I22)*
      IF($P22=1,
         $S22/12,
         IF(AH$4=1,
            $T22/12,
            IF(AH$4=$P22,
               $U22/12,
               1
      ))),0),
    ROUNDDOWN(
      AH22*IF(AH22*$I22&lt;=$L22,$J22,$I22)*
      IF($P22=1,
         $S22/12,
         IF(AH$4=1,
            $T22/12,
            IF(AH$4=$P22,
               $U22/12,
               1
      ))),0),
    ROUND(
      AH22*IF(AH22*$I22&lt;=$L22,$J22,$I22)*
      IF($P22=1,
         $S22/12,
         IF(AH$4=1,
            $T22/12,
            IF(AH$4=$P22,
               $U22/12,
               1
      ))),0)
))))</f>
        <v>-</v>
      </c>
      <c r="AJ22" s="56" t="str">
        <f ca="1">IF($H22=リスト!$AA$4,"-",
   IF($C22="-","-",
     IF(AJ$4&gt;$P22,"-",
       IF(AJ$4=1,$E22,OFFSET(AJ22,0,-2)-OFFSET(AJ22,0,-1)
))))</f>
        <v>-</v>
      </c>
      <c r="AK22" s="57" t="str">
        <f>IF($H22=リスト!$AA$4,"-",
 IF($C22="-","-",
  IF(AJ$4&gt;$P22,"-",
   CHOOSE(MATCH($H$3,リスト!$AE$3:$AE$5,0),
    ROUNDUP(
      AJ22*IF(AJ22*$I22&lt;=$L22,$J22,$I22)*
      IF($P22=1,
         $S22/12,
         IF(AJ$4=1,
            $T22/12,
            IF(AJ$4=$P22,
               $U22/12,
               1
      ))),0),
    ROUNDDOWN(
      AJ22*IF(AJ22*$I22&lt;=$L22,$J22,$I22)*
      IF($P22=1,
         $S22/12,
         IF(AJ$4=1,
            $T22/12,
            IF(AJ$4=$P22,
               $U22/12,
               1
      ))),0),
    ROUND(
      AJ22*IF(AJ22*$I22&lt;=$L22,$J22,$I22)*
      IF($P22=1,
         $S22/12,
         IF(AJ$4=1,
            $T22/12,
            IF(AJ$4=$P22,
               $U22/12,
               1
      ))),0)
))))</f>
        <v>-</v>
      </c>
      <c r="AL22" s="56" t="str">
        <f ca="1">IF($H22=リスト!$AA$4,"-",
   IF($C22="-","-",
     IF(AL$4&gt;$P22,"-",
       IF(AL$4=1,$E22,OFFSET(AL22,0,-2)-OFFSET(AL22,0,-1)
))))</f>
        <v>-</v>
      </c>
      <c r="AM22" s="57" t="str">
        <f>IF($H22=リスト!$AA$4,"-",
 IF($C22="-","-",
  IF(AL$4&gt;$P22,"-",
   CHOOSE(MATCH($H$3,リスト!$AE$3:$AE$5,0),
    ROUNDUP(
      AL22*IF(AL22*$I22&lt;=$L22,$J22,$I22)*
      IF($P22=1,
         $S22/12,
         IF(AL$4=1,
            $T22/12,
            IF(AL$4=$P22,
               $U22/12,
               1
      ))),0),
    ROUNDDOWN(
      AL22*IF(AL22*$I22&lt;=$L22,$J22,$I22)*
      IF($P22=1,
         $S22/12,
         IF(AL$4=1,
            $T22/12,
            IF(AL$4=$P22,
               $U22/12,
               1
      ))),0),
    ROUND(
      AL22*IF(AL22*$I22&lt;=$L22,$J22,$I22)*
      IF($P22=1,
         $S22/12,
         IF(AL$4=1,
            $T22/12,
            IF(AL$4=$P22,
               $U22/12,
               1
      ))),0)
))))</f>
        <v>-</v>
      </c>
      <c r="AN22" s="56" t="str">
        <f ca="1">IF($H22=リスト!$AA$4,"-",
   IF($C22="-","-",
     IF(AN$4&gt;$P22,"-",
       IF(AN$4=1,$E22,OFFSET(AN22,0,-2)-OFFSET(AN22,0,-1)
))))</f>
        <v>-</v>
      </c>
      <c r="AO22" s="57" t="str">
        <f>IF($H22=リスト!$AA$4,"-",
 IF($C22="-","-",
  IF(AN$4&gt;$P22,"-",
   CHOOSE(MATCH($H$3,リスト!$AE$3:$AE$5,0),
    ROUNDUP(
      AN22*IF(AN22*$I22&lt;=$L22,$J22,$I22)*
      IF($P22=1,
         $S22/12,
         IF(AN$4=1,
            $T22/12,
            IF(AN$4=$P22,
               $U22/12,
               1
      ))),0),
    ROUNDDOWN(
      AN22*IF(AN22*$I22&lt;=$L22,$J22,$I22)*
      IF($P22=1,
         $S22/12,
         IF(AN$4=1,
            $T22/12,
            IF(AN$4=$P22,
               $U22/12,
               1
      ))),0),
    ROUND(
      AN22*IF(AN22*$I22&lt;=$L22,$J22,$I22)*
      IF($P22=1,
         $S22/12,
         IF(AN$4=1,
            $T22/12,
            IF(AN$4=$P22,
               $U22/12,
               1
      ))),0)
))))</f>
        <v>-</v>
      </c>
      <c r="AP22" s="56" t="str">
        <f ca="1">IF($H22=リスト!$AA$4,"-",
   IF($C22="-","-",
     IF(AP$4&gt;$P22,"-",
       IF(AP$4=1,$E22,OFFSET(AP22,0,-2)-OFFSET(AP22,0,-1)
))))</f>
        <v>-</v>
      </c>
      <c r="AQ22" s="57" t="str">
        <f>IF($H22=リスト!$AA$4,"-",
 IF($C22="-","-",
  IF(AP$4&gt;$P22,"-",
   CHOOSE(MATCH($H$3,リスト!$AE$3:$AE$5,0),
    ROUNDUP(
      AP22*IF(AP22*$I22&lt;=$L22,$J22,$I22)*
      IF($P22=1,
         $S22/12,
         IF(AP$4=1,
            $T22/12,
            IF(AP$4=$P22,
               $U22/12,
               1
      ))),0),
    ROUNDDOWN(
      AP22*IF(AP22*$I22&lt;=$L22,$J22,$I22)*
      IF($P22=1,
         $S22/12,
         IF(AP$4=1,
            $T22/12,
            IF(AP$4=$P22,
               $U22/12,
               1
      ))),0),
    ROUND(
      AP22*IF(AP22*$I22&lt;=$L22,$J22,$I22)*
      IF($P22=1,
         $S22/12,
         IF(AP$4=1,
            $T22/12,
            IF(AP$4=$P22,
               $U22/12,
               1
      ))),0)
))))</f>
        <v>-</v>
      </c>
      <c r="AR22" s="56" t="str">
        <f ca="1">IF($H22=リスト!$AA$4,"-",
   IF($C22="-","-",
     IF(AR$4&gt;$P22,"-",
       IF(AR$4=1,$E22,OFFSET(AR22,0,-2)-OFFSET(AR22,0,-1)
))))</f>
        <v>-</v>
      </c>
      <c r="AS22" s="57" t="str">
        <f>IF($H22=リスト!$AA$4,"-",
 IF($C22="-","-",
  IF(AR$4&gt;$P22,"-",
   CHOOSE(MATCH($H$3,リスト!$AE$3:$AE$5,0),
    ROUNDUP(
      AR22*IF(AR22*$I22&lt;=$L22,$J22,$I22)*
      IF($P22=1,
         $S22/12,
         IF(AR$4=1,
            $T22/12,
            IF(AR$4=$P22,
               $U22/12,
               1
      ))),0),
    ROUNDDOWN(
      AR22*IF(AR22*$I22&lt;=$L22,$J22,$I22)*
      IF($P22=1,
         $S22/12,
         IF(AR$4=1,
            $T22/12,
            IF(AR$4=$P22,
               $U22/12,
               1
      ))),0),
    ROUND(
      AR22*IF(AR22*$I22&lt;=$L22,$J22,$I22)*
      IF($P22=1,
         $S22/12,
         IF(AR$4=1,
            $T22/12,
            IF(AR$4=$P22,
               $U22/12,
               1
      ))),0)
))))</f>
        <v>-</v>
      </c>
      <c r="AT22" s="56" t="str">
        <f ca="1">IF($H22=リスト!$AA$4,"-",
   IF($C22="-","-",
     IF(AT$4&gt;$P22,"-",
       IF(AT$4=1,$E22,OFFSET(AT22,0,-2)-OFFSET(AT22,0,-1)
))))</f>
        <v>-</v>
      </c>
      <c r="AU22" s="57" t="str">
        <f>IF($H22=リスト!$AA$4,"-",
 IF($C22="-","-",
  IF(AT$4&gt;$P22,"-",
   CHOOSE(MATCH($H$3,リスト!$AE$3:$AE$5,0),
    ROUNDUP(
      AT22*IF(AT22*$I22&lt;=$L22,$J22,$I22)*
      IF($P22=1,
         $S22/12,
         IF(AT$4=1,
            $T22/12,
            IF(AT$4=$P22,
               $U22/12,
               1
      ))),0),
    ROUNDDOWN(
      AT22*IF(AT22*$I22&lt;=$L22,$J22,$I22)*
      IF($P22=1,
         $S22/12,
         IF(AT$4=1,
            $T22/12,
            IF(AT$4=$P22,
               $U22/12,
               1
      ))),0),
    ROUND(
      AT22*IF(AT22*$I22&lt;=$L22,$J22,$I22)*
      IF($P22=1,
         $S22/12,
         IF(AT$4=1,
            $T22/12,
            IF(AT$4=$P22,
               $U22/12,
               1
      ))),0)
))))</f>
        <v>-</v>
      </c>
      <c r="AV22" s="56" t="str">
        <f ca="1">IF($H22=リスト!$AA$4,"-",
   IF($C22="-","-",
     IF(AV$4&gt;$P22,"-",
       IF(AV$4=1,$E22,OFFSET(AV22,0,-2)-OFFSET(AV22,0,-1)
))))</f>
        <v>-</v>
      </c>
      <c r="AW22" s="57" t="str">
        <f>IF($H22=リスト!$AA$4,"-",
 IF($C22="-","-",
  IF(AV$4&gt;$P22,"-",
   CHOOSE(MATCH($H$3,リスト!$AE$3:$AE$5,0),
    ROUNDUP(
      AV22*IF(AV22*$I22&lt;=$L22,$J22,$I22)*
      IF($P22=1,
         $S22/12,
         IF(AV$4=1,
            $T22/12,
            IF(AV$4=$P22,
               $U22/12,
               1
      ))),0),
    ROUNDDOWN(
      AV22*IF(AV22*$I22&lt;=$L22,$J22,$I22)*
      IF($P22=1,
         $S22/12,
         IF(AV$4=1,
            $T22/12,
            IF(AV$4=$P22,
               $U22/12,
               1
      ))),0),
    ROUND(
      AV22*IF(AV22*$I22&lt;=$L22,$J22,$I22)*
      IF($P22=1,
         $S22/12,
         IF(AV$4=1,
            $T22/12,
            IF(AV$4=$P22,
               $U22/12,
               1
      ))),0)
))))</f>
        <v>-</v>
      </c>
      <c r="AX22" s="56" t="str">
        <f ca="1">IF($H22=リスト!$AA$4,"-",
   IF($C22="-","-",
     IF(AX$4&gt;$P22,"-",
       IF(AX$4=1,$E22,OFFSET(AX22,0,-2)-OFFSET(AX22,0,-1)
))))</f>
        <v>-</v>
      </c>
      <c r="AY22" s="57" t="str">
        <f>IF($H22=リスト!$AA$4,"-",
 IF($C22="-","-",
  IF(AX$4&gt;$P22,"-",
   CHOOSE(MATCH($H$3,リスト!$AE$3:$AE$5,0),
    ROUNDUP(
      AX22*IF(AX22*$I22&lt;=$L22,$J22,$I22)*
      IF($P22=1,
         $S22/12,
         IF(AX$4=1,
            $T22/12,
            IF(AX$4=$P22,
               $U22/12,
               1
      ))),0),
    ROUNDDOWN(
      AX22*IF(AX22*$I22&lt;=$L22,$J22,$I22)*
      IF($P22=1,
         $S22/12,
         IF(AX$4=1,
            $T22/12,
            IF(AX$4=$P22,
               $U22/12,
               1
      ))),0),
    ROUND(
      AX22*IF(AX22*$I22&lt;=$L22,$J22,$I22)*
      IF($P22=1,
         $S22/12,
         IF(AX$4=1,
            $T22/12,
            IF(AX$4=$P22,
               $U22/12,
               1
      ))),0)
))))</f>
        <v>-</v>
      </c>
      <c r="AZ22" s="56" t="str">
        <f ca="1">IF($H22=リスト!$AA$4,"-",
   IF($C22="-","-",
     IF(AZ$4&gt;$P22,"-",
       IF(AZ$4=1,$E22,OFFSET(AZ22,0,-2)-OFFSET(AZ22,0,-1)
))))</f>
        <v>-</v>
      </c>
      <c r="BA22" s="57" t="str">
        <f>IF($H22=リスト!$AA$4,"-",
 IF($C22="-","-",
  IF(AZ$4&gt;$P22,"-",
   CHOOSE(MATCH($H$3,リスト!$AE$3:$AE$5,0),
    ROUNDUP(
      AZ22*IF(AZ22*$I22&lt;=$L22,$J22,$I22)*
      IF($P22=1,
         $S22/12,
         IF(AZ$4=1,
            $T22/12,
            IF(AZ$4=$P22,
               $U22/12,
               1
      ))),0),
    ROUNDDOWN(
      AZ22*IF(AZ22*$I22&lt;=$L22,$J22,$I22)*
      IF($P22=1,
         $S22/12,
         IF(AZ$4=1,
            $T22/12,
            IF(AZ$4=$P22,
               $U22/12,
               1
      ))),0),
    ROUND(
      AZ22*IF(AZ22*$I22&lt;=$L22,$J22,$I22)*
      IF($P22=1,
         $S22/12,
         IF(AZ$4=1,
            $T22/12,
            IF(AZ$4=$P22,
               $U22/12,
               1
      ))),0)
))))</f>
        <v>-</v>
      </c>
      <c r="BB22" s="56" t="str">
        <f ca="1">IF($H22=リスト!$AA$4,"-",
   IF($C22="-","-",
     IF(BB$4&gt;$P22,"-",
       IF(BB$4=1,$E22,OFFSET(BB22,0,-2)-OFFSET(BB22,0,-1)
))))</f>
        <v>-</v>
      </c>
      <c r="BC22" s="57" t="str">
        <f>IF($H22=リスト!$AA$4,"-",
 IF($C22="-","-",
  IF(BB$4&gt;$P22,"-",
   CHOOSE(MATCH($H$3,リスト!$AE$3:$AE$5,0),
    ROUNDUP(
      BB22*IF(BB22*$I22&lt;=$L22,$J22,$I22)*
      IF($P22=1,
         $S22/12,
         IF(BB$4=1,
            $T22/12,
            IF(BB$4=$P22,
               $U22/12,
               1
      ))),0),
    ROUNDDOWN(
      BB22*IF(BB22*$I22&lt;=$L22,$J22,$I22)*
      IF($P22=1,
         $S22/12,
         IF(BB$4=1,
            $T22/12,
            IF(BB$4=$P22,
               $U22/12,
               1
      ))),0),
    ROUND(
      BB22*IF(BB22*$I22&lt;=$L22,$J22,$I22)*
      IF($P22=1,
         $S22/12,
         IF(BB$4=1,
            $T22/12,
            IF(BB$4=$P22,
               $U22/12,
               1
      ))),0)
))))</f>
        <v>-</v>
      </c>
      <c r="BD22" s="56" t="str">
        <f ca="1">IF($H22=リスト!$AA$4,"-",
   IF($C22="-","-",
     IF(BD$4&gt;$P22,"-",
       IF(BD$4=1,$E22,OFFSET(BD22,0,-2)-OFFSET(BD22,0,-1)
))))</f>
        <v>-</v>
      </c>
      <c r="BE22" s="57" t="str">
        <f>IF($H22=リスト!$AA$4,"-",
 IF($C22="-","-",
  IF(BD$4&gt;$P22,"-",
   CHOOSE(MATCH($H$3,リスト!$AE$3:$AE$5,0),
    ROUNDUP(
      BD22*IF(BD22*$I22&lt;=$L22,$J22,$I22)*
      IF($P22=1,
         $S22/12,
         IF(BD$4=1,
            $T22/12,
            IF(BD$4=$P22,
               $U22/12,
               1
      ))),0),
    ROUNDDOWN(
      BD22*IF(BD22*$I22&lt;=$L22,$J22,$I22)*
      IF($P22=1,
         $S22/12,
         IF(BD$4=1,
            $T22/12,
            IF(BD$4=$P22,
               $U22/12,
               1
      ))),0),
    ROUND(
      BD22*IF(BD22*$I22&lt;=$L22,$J22,$I22)*
      IF($P22=1,
         $S22/12,
         IF(BD$4=1,
            $T22/12,
            IF(BD$4=$P22,
               $U22/12,
               1
      ))),0)
))))</f>
        <v>-</v>
      </c>
      <c r="BF22" s="56" t="str">
        <f ca="1">IF($H22=リスト!$AA$4,"-",
   IF($C22="-","-",
     IF(BF$4&gt;$P22,"-",
       IF(BF$4=1,$E22,OFFSET(BF22,0,-2)-OFFSET(BF22,0,-1)
))))</f>
        <v>-</v>
      </c>
      <c r="BG22" s="57" t="str">
        <f>IF($H22=リスト!$AA$4,"-",
 IF($C22="-","-",
  IF(BF$4&gt;$P22,"-",
   CHOOSE(MATCH($H$3,リスト!$AE$3:$AE$5,0),
    ROUNDUP(
      BF22*IF(BF22*$I22&lt;=$L22,$J22,$I22)*
      IF($P22=1,
         $S22/12,
         IF(BF$4=1,
            $T22/12,
            IF(BF$4=$P22,
               $U22/12,
               1
      ))),0),
    ROUNDDOWN(
      BF22*IF(BF22*$I22&lt;=$L22,$J22,$I22)*
      IF($P22=1,
         $S22/12,
         IF(BF$4=1,
            $T22/12,
            IF(BF$4=$P22,
               $U22/12,
               1
      ))),0),
    ROUND(
      BF22*IF(BF22*$I22&lt;=$L22,$J22,$I22)*
      IF($P22=1,
         $S22/12,
         IF(BF$4=1,
            $T22/12,
            IF(BF$4=$P22,
               $U22/12,
               1
      ))),0)
))))</f>
        <v>-</v>
      </c>
      <c r="BH22" s="56" t="str">
        <f ca="1">IF($H22=リスト!$AA$4,"-",
   IF($C22="-","-",
     IF(BH$4&gt;$P22,"-",
       IF(BH$4=1,$E22,OFFSET(BH22,0,-2)-OFFSET(BH22,0,-1)
))))</f>
        <v>-</v>
      </c>
      <c r="BI22" s="57" t="str">
        <f>IF($H22=リスト!$AA$4,"-",
 IF($C22="-","-",
  IF(BH$4&gt;$P22,"-",
   CHOOSE(MATCH($H$3,リスト!$AE$3:$AE$5,0),
    ROUNDUP(
      BH22*IF(BH22*$I22&lt;=$L22,$J22,$I22)*
      IF($P22=1,
         $S22/12,
         IF(BH$4=1,
            $T22/12,
            IF(BH$4=$P22,
               $U22/12,
               1
      ))),0),
    ROUNDDOWN(
      BH22*IF(BH22*$I22&lt;=$L22,$J22,$I22)*
      IF($P22=1,
         $S22/12,
         IF(BH$4=1,
            $T22/12,
            IF(BH$4=$P22,
               $U22/12,
               1
      ))),0),
    ROUND(
      BH22*IF(BH22*$I22&lt;=$L22,$J22,$I22)*
      IF($P22=1,
         $S22/12,
         IF(BH$4=1,
            $T22/12,
            IF(BH$4=$P22,
               $U22/12,
               1
      ))),0)
))))</f>
        <v>-</v>
      </c>
      <c r="BJ22" s="56" t="str">
        <f ca="1">IF($H22=リスト!$AA$4,"-",
   IF($C22="-","-",
     IF(BJ$4&gt;$P22,"-",
       IF(BJ$4=1,$E22,OFFSET(BJ22,0,-2)-OFFSET(BJ22,0,-1)
))))</f>
        <v>-</v>
      </c>
      <c r="BK22" s="57" t="str">
        <f>IF($H22=リスト!$AA$4,"-",
 IF($C22="-","-",
  IF(BJ$4&gt;$P22,"-",
   CHOOSE(MATCH($H$3,リスト!$AE$3:$AE$5,0),
    ROUNDUP(
      BJ22*IF(BJ22*$I22&lt;=$L22,$J22,$I22)*
      IF($P22=1,
         $S22/12,
         IF(BJ$4=1,
            $T22/12,
            IF(BJ$4=$P22,
               $U22/12,
               1
      ))),0),
    ROUNDDOWN(
      BJ22*IF(BJ22*$I22&lt;=$L22,$J22,$I22)*
      IF($P22=1,
         $S22/12,
         IF(BJ$4=1,
            $T22/12,
            IF(BJ$4=$P22,
               $U22/12,
               1
      ))),0),
    ROUND(
      BJ22*IF(BJ22*$I22&lt;=$L22,$J22,$I22)*
      IF($P22=1,
         $S22/12,
         IF(BJ$4=1,
            $T22/12,
            IF(BJ$4=$P22,
               $U22/12,
               1
      ))),0)
))))</f>
        <v>-</v>
      </c>
      <c r="BL22" s="56" t="str">
        <f ca="1">IF($H22=リスト!$AA$4,"-",
   IF($C22="-","-",
     IF(BL$4&gt;$P22,"-",
       IF(BL$4=1,$E22,OFFSET(BL22,0,-2)-OFFSET(BL22,0,-1)
))))</f>
        <v>-</v>
      </c>
      <c r="BM22" s="57" t="str">
        <f>IF($H22=リスト!$AA$4,"-",
 IF($C22="-","-",
  IF(BL$4&gt;$P22,"-",
   CHOOSE(MATCH($H$3,リスト!$AE$3:$AE$5,0),
    ROUNDUP(
      BL22*IF(BL22*$I22&lt;=$L22,$J22,$I22)*
      IF($P22=1,
         $S22/12,
         IF(BL$4=1,
            $T22/12,
            IF(BL$4=$P22,
               $U22/12,
               1
      ))),0),
    ROUNDDOWN(
      BL22*IF(BL22*$I22&lt;=$L22,$J22,$I22)*
      IF($P22=1,
         $S22/12,
         IF(BL$4=1,
            $T22/12,
            IF(BL$4=$P22,
               $U22/12,
               1
      ))),0),
    ROUND(
      BL22*IF(BL22*$I22&lt;=$L22,$J22,$I22)*
      IF($P22=1,
         $S22/12,
         IF(BL$4=1,
            $T22/12,
            IF(BL$4=$P22,
               $U22/12,
               1
      ))),0)
))))</f>
        <v>-</v>
      </c>
      <c r="BN22" s="56" t="str">
        <f ca="1">IF($H22=リスト!$AA$4,"-",
   IF($C22="-","-",
     IF(BN$4&gt;$P22,"-",
       IF(BN$4=1,$E22,OFFSET(BN22,0,-2)-OFFSET(BN22,0,-1)
))))</f>
        <v>-</v>
      </c>
      <c r="BO22" s="57" t="str">
        <f>IF($H22=リスト!$AA$4,"-",
 IF($C22="-","-",
  IF(BN$4&gt;$P22,"-",
   CHOOSE(MATCH($H$3,リスト!$AE$3:$AE$5,0),
    ROUNDUP(
      BN22*IF(BN22*$I22&lt;=$L22,$J22,$I22)*
      IF($P22=1,
         $S22/12,
         IF(BN$4=1,
            $T22/12,
            IF(BN$4=$P22,
               $U22/12,
               1
      ))),0),
    ROUNDDOWN(
      BN22*IF(BN22*$I22&lt;=$L22,$J22,$I22)*
      IF($P22=1,
         $S22/12,
         IF(BN$4=1,
            $T22/12,
            IF(BN$4=$P22,
               $U22/12,
               1
      ))),0),
    ROUND(
      BN22*IF(BN22*$I22&lt;=$L22,$J22,$I22)*
      IF($P22=1,
         $S22/12,
         IF(BN$4=1,
            $T22/12,
            IF(BN$4=$P22,
               $U22/12,
               1
      ))),0)
))))</f>
        <v>-</v>
      </c>
      <c r="BP22" s="56" t="str">
        <f ca="1">IF($H22=リスト!$AA$4,"-",
   IF($C22="-","-",
     IF(BP$4&gt;$P22,"-",
       IF(BP$4=1,$E22,OFFSET(BP22,0,-2)-OFFSET(BP22,0,-1)
))))</f>
        <v>-</v>
      </c>
      <c r="BQ22" s="57" t="str">
        <f>IF($H22=リスト!$AA$4,"-",
 IF($C22="-","-",
  IF(BP$4&gt;$P22,"-",
   CHOOSE(MATCH($H$3,リスト!$AE$3:$AE$5,0),
    ROUNDUP(
      BP22*IF(BP22*$I22&lt;=$L22,$J22,$I22)*
      IF($P22=1,
         $S22/12,
         IF(BP$4=1,
            $T22/12,
            IF(BP$4=$P22,
               $U22/12,
               1
      ))),0),
    ROUNDDOWN(
      BP22*IF(BP22*$I22&lt;=$L22,$J22,$I22)*
      IF($P22=1,
         $S22/12,
         IF(BP$4=1,
            $T22/12,
            IF(BP$4=$P22,
               $U22/12,
               1
      ))),0),
    ROUND(
      BP22*IF(BP22*$I22&lt;=$L22,$J22,$I22)*
      IF($P22=1,
         $S22/12,
         IF(BP$4=1,
            $T22/12,
            IF(BP$4=$P22,
               $U22/12,
               1
      ))),0)
))))</f>
        <v>-</v>
      </c>
      <c r="BR22" s="56" t="str">
        <f ca="1">IF($H22=リスト!$AA$4,"-",
   IF($C22="-","-",
     IF(BR$4&gt;$P22,"-",
       IF(BR$4=1,$E22,OFFSET(BR22,0,-2)-OFFSET(BR22,0,-1)
))))</f>
        <v>-</v>
      </c>
      <c r="BS22" s="57" t="str">
        <f>IF($H22=リスト!$AA$4,"-",
 IF($C22="-","-",
  IF(BR$4&gt;$P22,"-",
   CHOOSE(MATCH($H$3,リスト!$AE$3:$AE$5,0),
    ROUNDUP(
      BR22*IF(BR22*$I22&lt;=$L22,$J22,$I22)*
      IF($P22=1,
         $S22/12,
         IF(BR$4=1,
            $T22/12,
            IF(BR$4=$P22,
               $U22/12,
               1
      ))),0),
    ROUNDDOWN(
      BR22*IF(BR22*$I22&lt;=$L22,$J22,$I22)*
      IF($P22=1,
         $S22/12,
         IF(BR$4=1,
            $T22/12,
            IF(BR$4=$P22,
               $U22/12,
               1
      ))),0),
    ROUND(
      BR22*IF(BR22*$I22&lt;=$L22,$J22,$I22)*
      IF($P22=1,
         $S22/12,
         IF(BR$4=1,
            $T22/12,
            IF(BR$4=$P22,
               $U22/12,
               1
      ))),0)
))))</f>
        <v>-</v>
      </c>
      <c r="BT22" s="56" t="str">
        <f ca="1">IF($H22=リスト!$AA$4,"-",
   IF($C22="-","-",
     IF(BT$4&gt;$P22,"-",
       IF(BT$4=1,$E22,OFFSET(BT22,0,-2)-OFFSET(BT22,0,-1)
))))</f>
        <v>-</v>
      </c>
      <c r="BU22" s="57" t="str">
        <f>IF($H22=リスト!$AA$4,"-",
 IF($C22="-","-",
  IF(BT$4&gt;$P22,"-",
   CHOOSE(MATCH($H$3,リスト!$AE$3:$AE$5,0),
    ROUNDUP(
      BT22*IF(BT22*$I22&lt;=$L22,$J22,$I22)*
      IF($P22=1,
         $S22/12,
         IF(BT$4=1,
            $T22/12,
            IF(BT$4=$P22,
               $U22/12,
               1
      ))),0),
    ROUNDDOWN(
      BT22*IF(BT22*$I22&lt;=$L22,$J22,$I22)*
      IF($P22=1,
         $S22/12,
         IF(BT$4=1,
            $T22/12,
            IF(BT$4=$P22,
               $U22/12,
               1
      ))),0),
    ROUND(
      BT22*IF(BT22*$I22&lt;=$L22,$J22,$I22)*
      IF($P22=1,
         $S22/12,
         IF(BT$4=1,
            $T22/12,
            IF(BT$4=$P22,
               $U22/12,
               1
      ))),0)
))))</f>
        <v>-</v>
      </c>
      <c r="BV22" s="56" t="str">
        <f ca="1">IF($H22=リスト!$AA$4,"-",
   IF($C22="-","-",
     IF(BV$4&gt;$P22,"-",
       IF(BV$4=1,$E22,OFFSET(BV22,0,-2)-OFFSET(BV22,0,-1)
))))</f>
        <v>-</v>
      </c>
      <c r="BW22" s="57" t="str">
        <f>IF($H22=リスト!$AA$4,"-",
 IF($C22="-","-",
  IF(BV$4&gt;$P22,"-",
   CHOOSE(MATCH($H$3,リスト!$AE$3:$AE$5,0),
    ROUNDUP(
      BV22*IF(BV22*$I22&lt;=$L22,$J22,$I22)*
      IF($P22=1,
         $S22/12,
         IF(BV$4=1,
            $T22/12,
            IF(BV$4=$P22,
               $U22/12,
               1
      ))),0),
    ROUNDDOWN(
      BV22*IF(BV22*$I22&lt;=$L22,$J22,$I22)*
      IF($P22=1,
         $S22/12,
         IF(BV$4=1,
            $T22/12,
            IF(BV$4=$P22,
               $U22/12,
               1
      ))),0),
    ROUND(
      BV22*IF(BV22*$I22&lt;=$L22,$J22,$I22)*
      IF($P22=1,
         $S22/12,
         IF(BV$4=1,
            $T22/12,
            IF(BV$4=$P22,
               $U22/12,
               1
      ))),0)
))))</f>
        <v>-</v>
      </c>
      <c r="BX22" s="56" t="str">
        <f ca="1">IF($H22=リスト!$AA$4,"-",
   IF($C22="-","-",
     IF(BX$4&gt;$P22,"-",
       IF(BX$4=1,$E22,OFFSET(BX22,0,-2)-OFFSET(BX22,0,-1)
))))</f>
        <v>-</v>
      </c>
      <c r="BY22" s="57" t="str">
        <f>IF($H22=リスト!$AA$4,"-",
 IF($C22="-","-",
  IF(BX$4&gt;$P22,"-",
   CHOOSE(MATCH($H$3,リスト!$AE$3:$AE$5,0),
    ROUNDUP(
      BX22*IF(BX22*$I22&lt;=$L22,$J22,$I22)*
      IF($P22=1,
         $S22/12,
         IF(BX$4=1,
            $T22/12,
            IF(BX$4=$P22,
               $U22/12,
               1
      ))),0),
    ROUNDDOWN(
      BX22*IF(BX22*$I22&lt;=$L22,$J22,$I22)*
      IF($P22=1,
         $S22/12,
         IF(BX$4=1,
            $T22/12,
            IF(BX$4=$P22,
               $U22/12,
               1
      ))),0),
    ROUND(
      BX22*IF(BX22*$I22&lt;=$L22,$J22,$I22)*
      IF($P22=1,
         $S22/12,
         IF(BX$4=1,
            $T22/12,
            IF(BX$4=$P22,
               $U22/12,
               1
      ))),0)
))))</f>
        <v>-</v>
      </c>
      <c r="BZ22" s="56" t="str">
        <f ca="1">IF($H22=リスト!$AA$4,"-",
   IF($C22="-","-",
     IF(BZ$4&gt;$P22,"-",
       IF(BZ$4=1,$E22,OFFSET(BZ22,0,-2)-OFFSET(BZ22,0,-1)
))))</f>
        <v>-</v>
      </c>
      <c r="CA22" s="57" t="str">
        <f>IF($H22=リスト!$AA$4,"-",
 IF($C22="-","-",
  IF(BZ$4&gt;$P22,"-",
   CHOOSE(MATCH($H$3,リスト!$AE$3:$AE$5,0),
    ROUNDUP(
      BZ22*IF(BZ22*$I22&lt;=$L22,$J22,$I22)*
      IF($P22=1,
         $S22/12,
         IF(BZ$4=1,
            $T22/12,
            IF(BZ$4=$P22,
               $U22/12,
               1
      ))),0),
    ROUNDDOWN(
      BZ22*IF(BZ22*$I22&lt;=$L22,$J22,$I22)*
      IF($P22=1,
         $S22/12,
         IF(BZ$4=1,
            $T22/12,
            IF(BZ$4=$P22,
               $U22/12,
               1
      ))),0),
    ROUND(
      BZ22*IF(BZ22*$I22&lt;=$L22,$J22,$I22)*
      IF($P22=1,
         $S22/12,
         IF(BZ$4=1,
            $T22/12,
            IF(BZ$4=$P22,
               $U22/12,
               1
      ))),0)
))))</f>
        <v>-</v>
      </c>
      <c r="CB22" s="56" t="str">
        <f ca="1">IF($H22=リスト!$AA$4,"-",
   IF($C22="-","-",
     IF(CB$4&gt;$P22,"-",
       IF(CB$4=1,$E22,OFFSET(CB22,0,-2)-OFFSET(CB22,0,-1)
))))</f>
        <v>-</v>
      </c>
      <c r="CC22" s="57" t="str">
        <f>IF($H22=リスト!$AA$4,"-",
 IF($C22="-","-",
  IF(CB$4&gt;$P22,"-",
   CHOOSE(MATCH($H$3,リスト!$AE$3:$AE$5,0),
    ROUNDUP(
      CB22*IF(CB22*$I22&lt;=$L22,$J22,$I22)*
      IF($P22=1,
         $S22/12,
         IF(CB$4=1,
            $T22/12,
            IF(CB$4=$P22,
               $U22/12,
               1
      ))),0),
    ROUNDDOWN(
      CB22*IF(CB22*$I22&lt;=$L22,$J22,$I22)*
      IF($P22=1,
         $S22/12,
         IF(CB$4=1,
            $T22/12,
            IF(CB$4=$P22,
               $U22/12,
               1
      ))),0),
    ROUND(
      CB22*IF(CB22*$I22&lt;=$L22,$J22,$I22)*
      IF($P22=1,
         $S22/12,
         IF(CB$4=1,
            $T22/12,
            IF(CB$4=$P22,
               $U22/12,
               1
      ))),0)
))))</f>
        <v>-</v>
      </c>
      <c r="CD22" s="56" t="str">
        <f ca="1">IF($H22=リスト!$AA$4,"-",
   IF($C22="-","-",
     IF(CD$4&gt;$P22,"-",
       IF(CD$4=1,$E22,OFFSET(CD22,0,-2)-OFFSET(CD22,0,-1)
))))</f>
        <v>-</v>
      </c>
      <c r="CE22" s="57" t="str">
        <f>IF($H22=リスト!$AA$4,"-",
 IF($C22="-","-",
  IF(CD$4&gt;$P22,"-",
   CHOOSE(MATCH($H$3,リスト!$AE$3:$AE$5,0),
    ROUNDUP(
      CD22*IF(CD22*$I22&lt;=$L22,$J22,$I22)*
      IF($P22=1,
         $S22/12,
         IF(CD$4=1,
            $T22/12,
            IF(CD$4=$P22,
               $U22/12,
               1
      ))),0),
    ROUNDDOWN(
      CD22*IF(CD22*$I22&lt;=$L22,$J22,$I22)*
      IF($P22=1,
         $S22/12,
         IF(CD$4=1,
            $T22/12,
            IF(CD$4=$P22,
               $U22/12,
               1
      ))),0),
    ROUND(
      CD22*IF(CD22*$I22&lt;=$L22,$J22,$I22)*
      IF($P22=1,
         $S22/12,
         IF(CD$4=1,
            $T22/12,
            IF(CD$4=$P22,
               $U22/12,
               1
      ))),0)
))))</f>
        <v>-</v>
      </c>
      <c r="CF22" s="56" t="str">
        <f ca="1">IF($H22=リスト!$AA$4,"-",
   IF($C22="-","-",
     IF(CF$4&gt;$P22,"-",
       IF(CF$4=1,$E22,OFFSET(CF22,0,-2)-OFFSET(CF22,0,-1)
))))</f>
        <v>-</v>
      </c>
      <c r="CG22" s="57" t="str">
        <f>IF($H22=リスト!$AA$4,"-",
 IF($C22="-","-",
  IF(CF$4&gt;$P22,"-",
   CHOOSE(MATCH($H$3,リスト!$AE$3:$AE$5,0),
    ROUNDUP(
      CF22*IF(CF22*$I22&lt;=$L22,$J22,$I22)*
      IF($P22=1,
         $S22/12,
         IF(CF$4=1,
            $T22/12,
            IF(CF$4=$P22,
               $U22/12,
               1
      ))),0),
    ROUNDDOWN(
      CF22*IF(CF22*$I22&lt;=$L22,$J22,$I22)*
      IF($P22=1,
         $S22/12,
         IF(CF$4=1,
            $T22/12,
            IF(CF$4=$P22,
               $U22/12,
               1
      ))),0),
    ROUND(
      CF22*IF(CF22*$I22&lt;=$L22,$J22,$I22)*
      IF($P22=1,
         $S22/12,
         IF(CF$4=1,
            $T22/12,
            IF(CF$4=$P22,
               $U22/12,
               1
      ))),0)
))))</f>
        <v>-</v>
      </c>
      <c r="CH22" s="56" t="str">
        <f ca="1">IF($H22=リスト!$AA$4,"-",
   IF($C22="-","-",
     IF(CH$4&gt;$P22,"-",
       IF(CH$4=1,$E22,OFFSET(CH22,0,-2)-OFFSET(CH22,0,-1)
))))</f>
        <v>-</v>
      </c>
      <c r="CI22" s="57" t="str">
        <f>IF($H22=リスト!$AA$4,"-",
 IF($C22="-","-",
  IF(CH$4&gt;$P22,"-",
   CHOOSE(MATCH($H$3,リスト!$AE$3:$AE$5,0),
    ROUNDUP(
      CH22*IF(CH22*$I22&lt;=$L22,$J22,$I22)*
      IF($P22=1,
         $S22/12,
         IF(CH$4=1,
            $T22/12,
            IF(CH$4=$P22,
               $U22/12,
               1
      ))),0),
    ROUNDDOWN(
      CH22*IF(CH22*$I22&lt;=$L22,$J22,$I22)*
      IF($P22=1,
         $S22/12,
         IF(CH$4=1,
            $T22/12,
            IF(CH$4=$P22,
               $U22/12,
               1
      ))),0),
    ROUND(
      CH22*IF(CH22*$I22&lt;=$L22,$J22,$I22)*
      IF($P22=1,
         $S22/12,
         IF(CH$4=1,
            $T22/12,
            IF(CH$4=$P22,
               $U22/12,
               1
      ))),0)
))))</f>
        <v>-</v>
      </c>
      <c r="CJ22" s="56" t="str">
        <f ca="1">IF($H22=リスト!$AA$4,"-",
   IF($C22="-","-",
     IF(CJ$4&gt;$P22,"-",
       IF(CJ$4=1,$E22,OFFSET(CJ22,0,-2)-OFFSET(CJ22,0,-1)
))))</f>
        <v>-</v>
      </c>
      <c r="CK22" s="57" t="str">
        <f>IF($H22=リスト!$AA$4,"-",
 IF($C22="-","-",
  IF(CJ$4&gt;$P22,"-",
   CHOOSE(MATCH($H$3,リスト!$AE$3:$AE$5,0),
    ROUNDUP(
      CJ22*IF(CJ22*$I22&lt;=$L22,$J22,$I22)*
      IF($P22=1,
         $S22/12,
         IF(CJ$4=1,
            $T22/12,
            IF(CJ$4=$P22,
               $U22/12,
               1
      ))),0),
    ROUNDDOWN(
      CJ22*IF(CJ22*$I22&lt;=$L22,$J22,$I22)*
      IF($P22=1,
         $S22/12,
         IF(CJ$4=1,
            $T22/12,
            IF(CJ$4=$P22,
               $U22/12,
               1
      ))),0),
    ROUND(
      CJ22*IF(CJ22*$I22&lt;=$L22,$J22,$I22)*
      IF($P22=1,
         $S22/12,
         IF(CJ$4=1,
            $T22/12,
            IF(CJ$4=$P22,
               $U22/12,
               1
      ))),0)
))))</f>
        <v>-</v>
      </c>
      <c r="CL22" s="56" t="str">
        <f ca="1">IF($H22=リスト!$AA$4,"-",
   IF($C22="-","-",
     IF(CL$4&gt;$P22,"-",
       IF(CL$4=1,$E22,OFFSET(CL22,0,-2)-OFFSET(CL22,0,-1)
))))</f>
        <v>-</v>
      </c>
      <c r="CM22" s="57" t="str">
        <f>IF($H22=リスト!$AA$4,"-",
 IF($C22="-","-",
  IF(CL$4&gt;$P22,"-",
   CHOOSE(MATCH($H$3,リスト!$AE$3:$AE$5,0),
    ROUNDUP(
      CL22*IF(CL22*$I22&lt;=$L22,$J22,$I22)*
      IF($P22=1,
         $S22/12,
         IF(CL$4=1,
            $T22/12,
            IF(CL$4=$P22,
               $U22/12,
               1
      ))),0),
    ROUNDDOWN(
      CL22*IF(CL22*$I22&lt;=$L22,$J22,$I22)*
      IF($P22=1,
         $S22/12,
         IF(CL$4=1,
            $T22/12,
            IF(CL$4=$P22,
               $U22/12,
               1
      ))),0),
    ROUND(
      CL22*IF(CL22*$I22&lt;=$L22,$J22,$I22)*
      IF($P22=1,
         $S22/12,
         IF(CL$4=1,
            $T22/12,
            IF(CL$4=$P22,
               $U22/12,
               1
      ))),0)
))))</f>
        <v>-</v>
      </c>
      <c r="CN22" s="56" t="str">
        <f ca="1">IF($H22=リスト!$AA$4,"-",
   IF($C22="-","-",
     IF(CN$4&gt;$P22,"-",
       IF(CN$4=1,$E22,OFFSET(CN22,0,-2)-OFFSET(CN22,0,-1)
))))</f>
        <v>-</v>
      </c>
      <c r="CO22" s="57" t="str">
        <f>IF($H22=リスト!$AA$4,"-",
 IF($C22="-","-",
  IF(CN$4&gt;$P22,"-",
   CHOOSE(MATCH($H$3,リスト!$AE$3:$AE$5,0),
    ROUNDUP(
      CN22*IF(CN22*$I22&lt;=$L22,$J22,$I22)*
      IF($P22=1,
         $S22/12,
         IF(CN$4=1,
            $T22/12,
            IF(CN$4=$P22,
               $U22/12,
               1
      ))),0),
    ROUNDDOWN(
      CN22*IF(CN22*$I22&lt;=$L22,$J22,$I22)*
      IF($P22=1,
         $S22/12,
         IF(CN$4=1,
            $T22/12,
            IF(CN$4=$P22,
               $U22/12,
               1
      ))),0),
    ROUND(
      CN22*IF(CN22*$I22&lt;=$L22,$J22,$I22)*
      IF($P22=1,
         $S22/12,
         IF(CN$4=1,
            $T22/12,
            IF(CN$4=$P22,
               $U22/12,
               1
      ))),0)
))))</f>
        <v>-</v>
      </c>
      <c r="CP22" s="56" t="str">
        <f ca="1">IF($H22=リスト!$AA$4,"-",
   IF($C22="-","-",
     IF(CP$4&gt;$P22,"-",
       IF(CP$4=1,$E22,OFFSET(CP22,0,-2)-OFFSET(CP22,0,-1)
))))</f>
        <v>-</v>
      </c>
      <c r="CQ22" s="57" t="str">
        <f>IF($H22=リスト!$AA$4,"-",
 IF($C22="-","-",
  IF(CP$4&gt;$P22,"-",
   CHOOSE(MATCH($H$3,リスト!$AE$3:$AE$5,0),
    ROUNDUP(
      CP22*IF(CP22*$I22&lt;=$L22,$J22,$I22)*
      IF($P22=1,
         $S22/12,
         IF(CP$4=1,
            $T22/12,
            IF(CP$4=$P22,
               $U22/12,
               1
      ))),0),
    ROUNDDOWN(
      CP22*IF(CP22*$I22&lt;=$L22,$J22,$I22)*
      IF($P22=1,
         $S22/12,
         IF(CP$4=1,
            $T22/12,
            IF(CP$4=$P22,
               $U22/12,
               1
      ))),0),
    ROUND(
      CP22*IF(CP22*$I22&lt;=$L22,$J22,$I22)*
      IF($P22=1,
         $S22/12,
         IF(CP$4=1,
            $T22/12,
            IF(CP$4=$P22,
               $U22/12,
               1
      ))),0)
))))</f>
        <v>-</v>
      </c>
      <c r="CR22" s="56" t="str">
        <f ca="1">IF($H22=リスト!$AA$4,"-",
   IF($C22="-","-",
     IF(CR$4&gt;$P22,"-",
       IF(CR$4=1,$E22,OFFSET(CR22,0,-2)-OFFSET(CR22,0,-1)
))))</f>
        <v>-</v>
      </c>
      <c r="CS22" s="57" t="str">
        <f>IF($H22=リスト!$AA$4,"-",
 IF($C22="-","-",
  IF(CR$4&gt;$P22,"-",
   CHOOSE(MATCH($H$3,リスト!$AE$3:$AE$5,0),
    ROUNDUP(
      CR22*IF(CR22*$I22&lt;=$L22,$J22,$I22)*
      IF($P22=1,
         $S22/12,
         IF(CR$4=1,
            $T22/12,
            IF(CR$4=$P22,
               $U22/12,
               1
      ))),0),
    ROUNDDOWN(
      CR22*IF(CR22*$I22&lt;=$L22,$J22,$I22)*
      IF($P22=1,
         $S22/12,
         IF(CR$4=1,
            $T22/12,
            IF(CR$4=$P22,
               $U22/12,
               1
      ))),0),
    ROUND(
      CR22*IF(CR22*$I22&lt;=$L22,$J22,$I22)*
      IF($P22=1,
         $S22/12,
         IF(CR$4=1,
            $T22/12,
            IF(CR$4=$P22,
               $U22/12,
               1
      ))),0)
))))</f>
        <v>-</v>
      </c>
      <c r="CT22" s="56" t="str">
        <f ca="1">IF($H22=リスト!$AA$4,"-",
   IF($C22="-","-",
     IF(CT$4&gt;$P22,"-",
       IF(CT$4=1,$E22,OFFSET(CT22,0,-2)-OFFSET(CT22,0,-1)
))))</f>
        <v>-</v>
      </c>
      <c r="CU22" s="57" t="str">
        <f>IF($H22=リスト!$AA$4,"-",
 IF($C22="-","-",
  IF(CT$4&gt;$P22,"-",
   CHOOSE(MATCH($H$3,リスト!$AE$3:$AE$5,0),
    ROUNDUP(
      CT22*IF(CT22*$I22&lt;=$L22,$J22,$I22)*
      IF($P22=1,
         $S22/12,
         IF(CT$4=1,
            $T22/12,
            IF(CT$4=$P22,
               $U22/12,
               1
      ))),0),
    ROUNDDOWN(
      CT22*IF(CT22*$I22&lt;=$L22,$J22,$I22)*
      IF($P22=1,
         $S22/12,
         IF(CT$4=1,
            $T22/12,
            IF(CT$4=$P22,
               $U22/12,
               1
      ))),0),
    ROUND(
      CT22*IF(CT22*$I22&lt;=$L22,$J22,$I22)*
      IF($P22=1,
         $S22/12,
         IF(CT$4=1,
            $T22/12,
            IF(CT$4=$P22,
               $U22/12,
               1
      ))),0)
))))</f>
        <v>-</v>
      </c>
      <c r="CV22" s="56" t="str">
        <f ca="1">IF($H22=リスト!$AA$4,"-",
   IF($C22="-","-",
     IF(CV$4&gt;$P22,"-",
       IF(CV$4=1,$E22,OFFSET(CV22,0,-2)-OFFSET(CV22,0,-1)
))))</f>
        <v>-</v>
      </c>
      <c r="CW22" s="57" t="str">
        <f>IF($H22=リスト!$AA$4,"-",
 IF($C22="-","-",
  IF(CV$4&gt;$P22,"-",
   CHOOSE(MATCH($H$3,リスト!$AE$3:$AE$5,0),
    ROUNDUP(
      CV22*IF(CV22*$I22&lt;=$L22,$J22,$I22)*
      IF($P22=1,
         $S22/12,
         IF(CV$4=1,
            $T22/12,
            IF(CV$4=$P22,
               $U22/12,
               1
      ))),0),
    ROUNDDOWN(
      CV22*IF(CV22*$I22&lt;=$L22,$J22,$I22)*
      IF($P22=1,
         $S22/12,
         IF(CV$4=1,
            $T22/12,
            IF(CV$4=$P22,
               $U22/12,
               1
      ))),0),
    ROUND(
      CV22*IF(CV22*$I22&lt;=$L22,$J22,$I22)*
      IF($P22=1,
         $S22/12,
         IF(CV$4=1,
            $T22/12,
            IF(CV$4=$P22,
               $U22/12,
               1
      ))),0)
))))</f>
        <v>-</v>
      </c>
      <c r="CX22" s="56" t="str">
        <f ca="1">IF($H22=リスト!$AA$4,"-",
   IF($C22="-","-",
     IF(CX$4&gt;$P22,"-",
       IF(CX$4=1,$E22,OFFSET(CX22,0,-2)-OFFSET(CX22,0,-1)
))))</f>
        <v>-</v>
      </c>
      <c r="CY22" s="57" t="str">
        <f>IF($H22=リスト!$AA$4,"-",
 IF($C22="-","-",
  IF(CX$4&gt;$P22,"-",
   CHOOSE(MATCH($H$3,リスト!$AE$3:$AE$5,0),
    ROUNDUP(
      CX22*IF(CX22*$I22&lt;=$L22,$J22,$I22)*
      IF($P22=1,
         $S22/12,
         IF(CX$4=1,
            $T22/12,
            IF(CX$4=$P22,
               $U22/12,
               1
      ))),0),
    ROUNDDOWN(
      CX22*IF(CX22*$I22&lt;=$L22,$J22,$I22)*
      IF($P22=1,
         $S22/12,
         IF(CX$4=1,
            $T22/12,
            IF(CX$4=$P22,
               $U22/12,
               1
      ))),0),
    ROUND(
      CX22*IF(CX22*$I22&lt;=$L22,$J22,$I22)*
      IF($P22=1,
         $S22/12,
         IF(CX$4=1,
            $T22/12,
            IF(CX$4=$P22,
               $U22/12,
               1
      ))),0)
))))</f>
        <v>-</v>
      </c>
      <c r="CZ22" s="56" t="str">
        <f ca="1">IF($H22=リスト!$AA$4,"-",
   IF($C22="-","-",
     IF(CZ$4&gt;$P22,"-",
       IF(CZ$4=1,$E22,OFFSET(CZ22,0,-2)-OFFSET(CZ22,0,-1)
))))</f>
        <v>-</v>
      </c>
      <c r="DA22" s="57" t="str">
        <f>IF($H22=リスト!$AA$4,"-",
 IF($C22="-","-",
  IF(CZ$4&gt;$P22,"-",
   CHOOSE(MATCH($H$3,リスト!$AE$3:$AE$5,0),
    ROUNDUP(
      CZ22*IF(CZ22*$I22&lt;=$L22,$J22,$I22)*
      IF($P22=1,
         $S22/12,
         IF(CZ$4=1,
            $T22/12,
            IF(CZ$4=$P22,
               $U22/12,
               1
      ))),0),
    ROUNDDOWN(
      CZ22*IF(CZ22*$I22&lt;=$L22,$J22,$I22)*
      IF($P22=1,
         $S22/12,
         IF(CZ$4=1,
            $T22/12,
            IF(CZ$4=$P22,
               $U22/12,
               1
      ))),0),
    ROUND(
      CZ22*IF(CZ22*$I22&lt;=$L22,$J22,$I22)*
      IF($P22=1,
         $S22/12,
         IF(CZ$4=1,
            $T22/12,
            IF(CZ$4=$P22,
               $U22/12,
               1
      ))),0)
))))</f>
        <v>-</v>
      </c>
      <c r="DB22" s="56" t="str">
        <f ca="1">IF($H22=リスト!$AA$4,"-",
   IF($C22="-","-",
     IF(DB$4&gt;$P22,"-",
       IF(DB$4=1,$E22,OFFSET(DB22,0,-2)-OFFSET(DB22,0,-1)
))))</f>
        <v>-</v>
      </c>
      <c r="DC22" s="57" t="str">
        <f>IF($H22=リスト!$AA$4,"-",
 IF($C22="-","-",
  IF(DB$4&gt;$P22,"-",
   CHOOSE(MATCH($H$3,リスト!$AE$3:$AE$5,0),
    ROUNDUP(
      DB22*IF(DB22*$I22&lt;=$L22,$J22,$I22)*
      IF($P22=1,
         $S22/12,
         IF(DB$4=1,
            $T22/12,
            IF(DB$4=$P22,
               $U22/12,
               1
      ))),0),
    ROUNDDOWN(
      DB22*IF(DB22*$I22&lt;=$L22,$J22,$I22)*
      IF($P22=1,
         $S22/12,
         IF(DB$4=1,
            $T22/12,
            IF(DB$4=$P22,
               $U22/12,
               1
      ))),0),
    ROUND(
      DB22*IF(DB22*$I22&lt;=$L22,$J22,$I22)*
      IF($P22=1,
         $S22/12,
         IF(DB$4=1,
            $T22/12,
            IF(DB$4=$P22,
               $U22/12,
               1
      ))),0)
))))</f>
        <v>-</v>
      </c>
      <c r="DD22" s="56" t="str">
        <f ca="1">IF($H22=リスト!$AA$4,"-",
   IF($C22="-","-",
     IF(DD$4&gt;$P22,"-",
       IF(DD$4=1,$E22,OFFSET(DD22,0,-2)-OFFSET(DD22,0,-1)
))))</f>
        <v>-</v>
      </c>
      <c r="DE22" s="57" t="str">
        <f>IF($H22=リスト!$AA$4,"-",
 IF($C22="-","-",
  IF(DD$4&gt;$P22,"-",
   CHOOSE(MATCH($H$3,リスト!$AE$3:$AE$5,0),
    ROUNDUP(
      DD22*IF(DD22*$I22&lt;=$L22,$J22,$I22)*
      IF($P22=1,
         $S22/12,
         IF(DD$4=1,
            $T22/12,
            IF(DD$4=$P22,
               $U22/12,
               1
      ))),0),
    ROUNDDOWN(
      DD22*IF(DD22*$I22&lt;=$L22,$J22,$I22)*
      IF($P22=1,
         $S22/12,
         IF(DD$4=1,
            $T22/12,
            IF(DD$4=$P22,
               $U22/12,
               1
      ))),0),
    ROUND(
      DD22*IF(DD22*$I22&lt;=$L22,$J22,$I22)*
      IF($P22=1,
         $S22/12,
         IF(DD$4=1,
            $T22/12,
            IF(DD$4=$P22,
               $U22/12,
               1
      ))),0)
))))</f>
        <v>-</v>
      </c>
      <c r="DF22" s="56" t="str">
        <f ca="1">IF($H22=リスト!$AA$4,"-",
   IF($C22="-","-",
     IF(DF$4&gt;$P22,"-",
       IF(DF$4=1,$E22,OFFSET(DF22,0,-2)-OFFSET(DF22,0,-1)
))))</f>
        <v>-</v>
      </c>
      <c r="DG22" s="57" t="str">
        <f>IF($H22=リスト!$AA$4,"-",
 IF($C22="-","-",
  IF(DF$4&gt;$P22,"-",
   CHOOSE(MATCH($H$3,リスト!$AE$3:$AE$5,0),
    ROUNDUP(
      DF22*IF(DF22*$I22&lt;=$L22,$J22,$I22)*
      IF($P22=1,
         $S22/12,
         IF(DF$4=1,
            $T22/12,
            IF(DF$4=$P22,
               $U22/12,
               1
      ))),0),
    ROUNDDOWN(
      DF22*IF(DF22*$I22&lt;=$L22,$J22,$I22)*
      IF($P22=1,
         $S22/12,
         IF(DF$4=1,
            $T22/12,
            IF(DF$4=$P22,
               $U22/12,
               1
      ))),0),
    ROUND(
      DF22*IF(DF22*$I22&lt;=$L22,$J22,$I22)*
      IF($P22=1,
         $S22/12,
         IF(DF$4=1,
            $T22/12,
            IF(DF$4=$P22,
               $U22/12,
               1
      ))),0)
))))</f>
        <v>-</v>
      </c>
      <c r="DH22" s="56" t="str">
        <f ca="1">IF($H22=リスト!$AA$4,"-",
   IF($C22="-","-",
     IF(DH$4&gt;$P22,"-",
       IF(DH$4=1,$E22,OFFSET(DH22,0,-2)-OFFSET(DH22,0,-1)
))))</f>
        <v>-</v>
      </c>
      <c r="DI22" s="57" t="str">
        <f>IF($H22=リスト!$AA$4,"-",
 IF($C22="-","-",
  IF(DH$4&gt;$P22,"-",
   CHOOSE(MATCH($H$3,リスト!$AE$3:$AE$5,0),
    ROUNDUP(
      DH22*IF(DH22*$I22&lt;=$L22,$J22,$I22)*
      IF($P22=1,
         $S22/12,
         IF(DH$4=1,
            $T22/12,
            IF(DH$4=$P22,
               $U22/12,
               1
      ))),0),
    ROUNDDOWN(
      DH22*IF(DH22*$I22&lt;=$L22,$J22,$I22)*
      IF($P22=1,
         $S22/12,
         IF(DH$4=1,
            $T22/12,
            IF(DH$4=$P22,
               $U22/12,
               1
      ))),0),
    ROUND(
      DH22*IF(DH22*$I22&lt;=$L22,$J22,$I22)*
      IF($P22=1,
         $S22/12,
         IF(DH$4=1,
            $T22/12,
            IF(DH$4=$P22,
               $U22/12,
               1
      ))),0)
))))</f>
        <v>-</v>
      </c>
      <c r="DJ22" s="56" t="str">
        <f ca="1">IF($H22=リスト!$AA$4,"-",
   IF($C22="-","-",
     IF(DJ$4&gt;$P22,"-",
       IF(DJ$4=1,$E22,OFFSET(DJ22,0,-2)-OFFSET(DJ22,0,-1)
))))</f>
        <v>-</v>
      </c>
      <c r="DK22" s="57" t="str">
        <f>IF($H22=リスト!$AA$4,"-",
 IF($C22="-","-",
  IF(DJ$4&gt;$P22,"-",
   CHOOSE(MATCH($H$3,リスト!$AE$3:$AE$5,0),
    ROUNDUP(
      DJ22*IF(DJ22*$I22&lt;=$L22,$J22,$I22)*
      IF($P22=1,
         $S22/12,
         IF(DJ$4=1,
            $T22/12,
            IF(DJ$4=$P22,
               $U22/12,
               1
      ))),0),
    ROUNDDOWN(
      DJ22*IF(DJ22*$I22&lt;=$L22,$J22,$I22)*
      IF($P22=1,
         $S22/12,
         IF(DJ$4=1,
            $T22/12,
            IF(DJ$4=$P22,
               $U22/12,
               1
      ))),0),
    ROUND(
      DJ22*IF(DJ22*$I22&lt;=$L22,$J22,$I22)*
      IF($P22=1,
         $S22/12,
         IF(DJ$4=1,
            $T22/12,
            IF(DJ$4=$P22,
               $U22/12,
               1
      ))),0)
))))</f>
        <v>-</v>
      </c>
      <c r="DL22" s="56" t="str">
        <f ca="1">IF($H22=リスト!$AA$4,"-",
   IF($C22="-","-",
     IF(DL$4&gt;$P22,"-",
       IF(DL$4=1,$E22,OFFSET(DL22,0,-2)-OFFSET(DL22,0,-1)
))))</f>
        <v>-</v>
      </c>
      <c r="DM22" s="57" t="str">
        <f>IF($H22=リスト!$AA$4,"-",
 IF($C22="-","-",
  IF(DL$4&gt;$P22,"-",
   CHOOSE(MATCH($H$3,リスト!$AE$3:$AE$5,0),
    ROUNDUP(
      DL22*IF(DL22*$I22&lt;=$L22,$J22,$I22)*
      IF($P22=1,
         $S22/12,
         IF(DL$4=1,
            $T22/12,
            IF(DL$4=$P22,
               $U22/12,
               1
      ))),0),
    ROUNDDOWN(
      DL22*IF(DL22*$I22&lt;=$L22,$J22,$I22)*
      IF($P22=1,
         $S22/12,
         IF(DL$4=1,
            $T22/12,
            IF(DL$4=$P22,
               $U22/12,
               1
      ))),0),
    ROUND(
      DL22*IF(DL22*$I22&lt;=$L22,$J22,$I22)*
      IF($P22=1,
         $S22/12,
         IF(DL$4=1,
            $T22/12,
            IF(DL$4=$P22,
               $U22/12,
               1
      ))),0)
))))</f>
        <v>-</v>
      </c>
      <c r="DN22" s="56" t="str">
        <f ca="1">IF($H22=リスト!$AA$4,"-",
   IF($C22="-","-",
     IF(DN$4&gt;$P22,"-",
       IF(DN$4=1,$E22,OFFSET(DN22,0,-2)-OFFSET(DN22,0,-1)
))))</f>
        <v>-</v>
      </c>
      <c r="DO22" s="57" t="str">
        <f>IF($H22=リスト!$AA$4,"-",
 IF($C22="-","-",
  IF(DN$4&gt;$P22,"-",
   CHOOSE(MATCH($H$3,リスト!$AE$3:$AE$5,0),
    ROUNDUP(
      DN22*IF(DN22*$I22&lt;=$L22,$J22,$I22)*
      IF($P22=1,
         $S22/12,
         IF(DN$4=1,
            $T22/12,
            IF(DN$4=$P22,
               $U22/12,
               1
      ))),0),
    ROUNDDOWN(
      DN22*IF(DN22*$I22&lt;=$L22,$J22,$I22)*
      IF($P22=1,
         $S22/12,
         IF(DN$4=1,
            $T22/12,
            IF(DN$4=$P22,
               $U22/12,
               1
      ))),0),
    ROUND(
      DN22*IF(DN22*$I22&lt;=$L22,$J22,$I22)*
      IF($P22=1,
         $S22/12,
         IF(DN$4=1,
            $T22/12,
            IF(DN$4=$P22,
               $U22/12,
               1
      ))),0)
))))</f>
        <v>-</v>
      </c>
      <c r="DP22" s="56" t="str">
        <f ca="1">IF($H22=リスト!$AA$4,"-",
   IF($C22="-","-",
     IF(DP$4&gt;$P22,"-",
       IF(DP$4=1,$E22,OFFSET(DP22,0,-2)-OFFSET(DP22,0,-1)
))))</f>
        <v>-</v>
      </c>
      <c r="DQ22" s="57" t="str">
        <f>IF($H22=リスト!$AA$4,"-",
 IF($C22="-","-",
  IF(DP$4&gt;$P22,"-",
   CHOOSE(MATCH($H$3,リスト!$AE$3:$AE$5,0),
    ROUNDUP(
      DP22*IF(DP22*$I22&lt;=$L22,$J22,$I22)*
      IF($P22=1,
         $S22/12,
         IF(DP$4=1,
            $T22/12,
            IF(DP$4=$P22,
               $U22/12,
               1
      ))),0),
    ROUNDDOWN(
      DP22*IF(DP22*$I22&lt;=$L22,$J22,$I22)*
      IF($P22=1,
         $S22/12,
         IF(DP$4=1,
            $T22/12,
            IF(DP$4=$P22,
               $U22/12,
               1
      ))),0),
    ROUND(
      DP22*IF(DP22*$I22&lt;=$L22,$J22,$I22)*
      IF($P22=1,
         $S22/12,
         IF(DP$4=1,
            $T22/12,
            IF(DP$4=$P22,
               $U22/12,
               1
      ))),0)
))))</f>
        <v>-</v>
      </c>
      <c r="DR22" s="56" t="str">
        <f ca="1">IF($H22=リスト!$AA$4,"-",
   IF($C22="-","-",
     IF(DR$4&gt;$P22,"-",
       IF(DR$4=1,$E22,OFFSET(DR22,0,-2)-OFFSET(DR22,0,-1)
))))</f>
        <v>-</v>
      </c>
      <c r="DS22" s="57" t="str">
        <f>IF($H22=リスト!$AA$4,"-",
 IF($C22="-","-",
  IF(DR$4&gt;$P22,"-",
   CHOOSE(MATCH($H$3,リスト!$AE$3:$AE$5,0),
    ROUNDUP(
      DR22*IF(DR22*$I22&lt;=$L22,$J22,$I22)*
      IF($P22=1,
         $S22/12,
         IF(DR$4=1,
            $T22/12,
            IF(DR$4=$P22,
               $U22/12,
               1
      ))),0),
    ROUNDDOWN(
      DR22*IF(DR22*$I22&lt;=$L22,$J22,$I22)*
      IF($P22=1,
         $S22/12,
         IF(DR$4=1,
            $T22/12,
            IF(DR$4=$P22,
               $U22/12,
               1
      ))),0),
    ROUND(
      DR22*IF(DR22*$I22&lt;=$L22,$J22,$I22)*
      IF($P22=1,
         $S22/12,
         IF(DR$4=1,
            $T22/12,
            IF(DR$4=$P22,
               $U22/12,
               1
      ))),0)
))))</f>
        <v>-</v>
      </c>
      <c r="DT22" s="56" t="str" cm="1">
        <f t="array" ref="DT22">IF($H22&lt;&gt;リスト!$AA$3,"-",$E22-SUMPRODUCT(IFERROR($Y22:$DS22*1,0), --(MOD(COLUMN($Y22:$DS22)-COLUMN($Y22),2)=0)))</f>
        <v>-</v>
      </c>
      <c r="DU22" s="56" t="str">
        <f>IF($H22&lt;&gt;リスト!$AA$4,"-",
    IF($H$3=リスト!$AE$3,$E22-ROUNDUP($E22*I22*$W22/12,0),
    IF($H$3=リスト!$AE$4,$E22-ROUNDDOWN($E22*I22*$W22/12,0),
    IF($H$3=リスト!$AE$5,$E22-ROUND($E22*I22*$W22/12,0),
    "-"))))</f>
        <v>-</v>
      </c>
    </row>
    <row r="23" spans="2:125">
      <c r="B23" s="54">
        <v>18</v>
      </c>
      <c r="C23" s="55" t="str">
        <f>IF(財産処分報告用!$C23="","-",財産処分報告用!$C23)</f>
        <v>-</v>
      </c>
      <c r="D23" s="55" t="str">
        <f>財産処分報告用!$E23</f>
        <v>-</v>
      </c>
      <c r="E23" s="56" t="str">
        <f>IF(財産処分報告用!$J23="","-",財産処分報告用!$J23)</f>
        <v>-</v>
      </c>
      <c r="F23" s="101" t="str">
        <f>IF(財産処分報告用!$K23="","-",財産処分報告用!$K23)</f>
        <v>-</v>
      </c>
      <c r="G23" s="101" t="str">
        <f>IF(財産処分報告用!$L23="","-",財産処分報告用!$L23)</f>
        <v>-</v>
      </c>
      <c r="H23" s="55" t="str">
        <f>IF(財産処分報告用!$M23="","-",財産処分報告用!$M23)</f>
        <v>-</v>
      </c>
      <c r="I23" s="55" t="str">
        <f>IF(OR($D23="-",$H23="-"),"-",INDEX(リスト!$AG$2:$AI$101,MATCH($D23,リスト!$AG$2:$AG$101,0),MATCH($H23,リスト!$AG$2:$AI$2,0)))</f>
        <v>-</v>
      </c>
      <c r="J23" s="55" t="str">
        <f>IF(OR($D23="-",$H23="-"),"-",IF($H23=リスト!$AA$4,"-",INDEX(リスト!$AG$2:$AK$101,MATCH($D23,リスト!$AG$2:$AG$101,0),4)))</f>
        <v>-</v>
      </c>
      <c r="K23" s="55" t="str">
        <f>IF(OR($D23="-",$H23="-"),"-",IF($H23=リスト!$AA$4,"-",INDEX(リスト!$AG$2:$AK$101,MATCH($D23,リスト!$AG$2:$AG$101,0),5)))</f>
        <v>-</v>
      </c>
      <c r="L23" s="55" t="str">
        <f t="shared" si="0"/>
        <v>-</v>
      </c>
      <c r="M23" s="101" t="str">
        <f t="shared" si="1"/>
        <v>-</v>
      </c>
      <c r="N23" s="101" t="str">
        <f t="shared" si="2"/>
        <v>-</v>
      </c>
      <c r="O23" s="101" t="str">
        <f t="shared" si="3"/>
        <v>-</v>
      </c>
      <c r="P23" s="102" t="str">
        <f t="shared" si="4"/>
        <v>-</v>
      </c>
      <c r="Q23" s="115" t="str">
        <f t="shared" si="5"/>
        <v>-</v>
      </c>
      <c r="R23" s="116" t="str">
        <f t="shared" si="6"/>
        <v>-</v>
      </c>
      <c r="S23" s="102" t="str">
        <f t="shared" si="7"/>
        <v>-</v>
      </c>
      <c r="T23" s="102" t="str">
        <f t="shared" si="8"/>
        <v>-</v>
      </c>
      <c r="U23" s="102" t="str">
        <f t="shared" si="9"/>
        <v>-</v>
      </c>
      <c r="V23" s="102" t="str">
        <f t="shared" si="10"/>
        <v>-</v>
      </c>
      <c r="W23" s="55" t="str">
        <f t="shared" si="11"/>
        <v>-</v>
      </c>
      <c r="X23" s="56" t="str">
        <f ca="1">IF($H23=リスト!$AA$4,"-",
   IF($C23="-","-",
     IF(X$4&gt;$P23,"-",
       IF(X$4=1,$E23,OFFSET(X23,0,-2)-OFFSET(X23,0,-1)
))))</f>
        <v>-</v>
      </c>
      <c r="Y23" s="57" t="str">
        <f>IF($H23=リスト!$AA$4,"-",
 IF($C23="-","-",
  IF(X$4&gt;$P23,"-",
   CHOOSE(MATCH($H$3,リスト!$AE$3:$AE$5,0),
    ROUNDUP(
      X23*IF(X23*$I23&lt;=$L23,$J23,$I23)*
      IF($P23=1,
         $S23/12,
         IF(X$4=1,
            $T23/12,
            IF(X$4=$P23,
               $U23/12,
               1
      ))),0),
    ROUNDDOWN(
      X23*IF(X23*$I23&lt;=$L23,$J23,$I23)*
      IF($P23=1,
         $S23/12,
         IF(X$4=1,
            $T23/12,
            IF(X$4=$P23,
               $U23/12,
               1
      ))),0),
    ROUND(
      X23*IF(X23*$I23&lt;=$L23,$J23,$I23)*
      IF($P23=1,
         $S23/12,
         IF(X$4=1,
            $T23/12,
            IF(X$4=$P23,
               $U23/12,
               1
      ))),0)
))))</f>
        <v>-</v>
      </c>
      <c r="Z23" s="56" t="str">
        <f ca="1">IF($H23=リスト!$AA$4,"-",
   IF($C23="-","-",
     IF(Z$4&gt;$P23,"-",
       IF(Z$4=1,$E23,OFFSET(Z23,0,-2)-OFFSET(Z23,0,-1)
))))</f>
        <v>-</v>
      </c>
      <c r="AA23" s="57" t="str">
        <f>IF($H23=リスト!$AA$4,"-",
 IF($C23="-","-",
  IF(Z$4&gt;$P23,"-",
   CHOOSE(MATCH($H$3,リスト!$AE$3:$AE$5,0),
    ROUNDUP(
      Z23*IF(Z23*$I23&lt;=$L23,$J23,$I23)*
      IF($P23=1,
         $S23/12,
         IF(Z$4=1,
            $T23/12,
            IF(Z$4=$P23,
               $U23/12,
               1
      ))),0),
    ROUNDDOWN(
      Z23*IF(Z23*$I23&lt;=$L23,$J23,$I23)*
      IF($P23=1,
         $S23/12,
         IF(Z$4=1,
            $T23/12,
            IF(Z$4=$P23,
               $U23/12,
               1
      ))),0),
    ROUND(
      Z23*IF(Z23*$I23&lt;=$L23,$J23,$I23)*
      IF($P23=1,
         $S23/12,
         IF(Z$4=1,
            $T23/12,
            IF(Z$4=$P23,
               $U23/12,
               1
      ))),0)
))))</f>
        <v>-</v>
      </c>
      <c r="AB23" s="56" t="str">
        <f ca="1">IF($H23=リスト!$AA$4,"-",
   IF($C23="-","-",
     IF(AB$4&gt;$P23,"-",
       IF(AB$4=1,$E23,OFFSET(AB23,0,-2)-OFFSET(AB23,0,-1)
))))</f>
        <v>-</v>
      </c>
      <c r="AC23" s="57" t="str">
        <f>IF($H23=リスト!$AA$4,"-",
 IF($C23="-","-",
  IF(AB$4&gt;$P23,"-",
   CHOOSE(MATCH($H$3,リスト!$AE$3:$AE$5,0),
    ROUNDUP(
      AB23*IF(AB23*$I23&lt;=$L23,$J23,$I23)*
      IF($P23=1,
         $S23/12,
         IF(AB$4=1,
            $T23/12,
            IF(AB$4=$P23,
               $U23/12,
               1
      ))),0),
    ROUNDDOWN(
      AB23*IF(AB23*$I23&lt;=$L23,$J23,$I23)*
      IF($P23=1,
         $S23/12,
         IF(AB$4=1,
            $T23/12,
            IF(AB$4=$P23,
               $U23/12,
               1
      ))),0),
    ROUND(
      AB23*IF(AB23*$I23&lt;=$L23,$J23,$I23)*
      IF($P23=1,
         $S23/12,
         IF(AB$4=1,
            $T23/12,
            IF(AB$4=$P23,
               $U23/12,
               1
      ))),0)
))))</f>
        <v>-</v>
      </c>
      <c r="AD23" s="56" t="str">
        <f ca="1">IF($H23=リスト!$AA$4,"-",
   IF($C23="-","-",
     IF(AD$4&gt;$P23,"-",
       IF(AD$4=1,$E23,OFFSET(AD23,0,-2)-OFFSET(AD23,0,-1)
))))</f>
        <v>-</v>
      </c>
      <c r="AE23" s="57" t="str">
        <f>IF($H23=リスト!$AA$4,"-",
 IF($C23="-","-",
  IF(AD$4&gt;$P23,"-",
   CHOOSE(MATCH($H$3,リスト!$AE$3:$AE$5,0),
    ROUNDUP(
      AD23*IF(AD23*$I23&lt;=$L23,$J23,$I23)*
      IF($P23=1,
         $S23/12,
         IF(AD$4=1,
            $T23/12,
            IF(AD$4=$P23,
               $U23/12,
               1
      ))),0),
    ROUNDDOWN(
      AD23*IF(AD23*$I23&lt;=$L23,$J23,$I23)*
      IF($P23=1,
         $S23/12,
         IF(AD$4=1,
            $T23/12,
            IF(AD$4=$P23,
               $U23/12,
               1
      ))),0),
    ROUND(
      AD23*IF(AD23*$I23&lt;=$L23,$J23,$I23)*
      IF($P23=1,
         $S23/12,
         IF(AD$4=1,
            $T23/12,
            IF(AD$4=$P23,
               $U23/12,
               1
      ))),0)
))))</f>
        <v>-</v>
      </c>
      <c r="AF23" s="56" t="str">
        <f ca="1">IF($H23=リスト!$AA$4,"-",
   IF($C23="-","-",
     IF(AF$4&gt;$P23,"-",
       IF(AF$4=1,$E23,OFFSET(AF23,0,-2)-OFFSET(AF23,0,-1)
))))</f>
        <v>-</v>
      </c>
      <c r="AG23" s="57" t="str">
        <f>IF($H23=リスト!$AA$4,"-",
 IF($C23="-","-",
  IF(AF$4&gt;$P23,"-",
   CHOOSE(MATCH($H$3,リスト!$AE$3:$AE$5,0),
    ROUNDUP(
      AF23*IF(AF23*$I23&lt;=$L23,$J23,$I23)*
      IF($P23=1,
         $S23/12,
         IF(AF$4=1,
            $T23/12,
            IF(AF$4=$P23,
               $U23/12,
               1
      ))),0),
    ROUNDDOWN(
      AF23*IF(AF23*$I23&lt;=$L23,$J23,$I23)*
      IF($P23=1,
         $S23/12,
         IF(AF$4=1,
            $T23/12,
            IF(AF$4=$P23,
               $U23/12,
               1
      ))),0),
    ROUND(
      AF23*IF(AF23*$I23&lt;=$L23,$J23,$I23)*
      IF($P23=1,
         $S23/12,
         IF(AF$4=1,
            $T23/12,
            IF(AF$4=$P23,
               $U23/12,
               1
      ))),0)
))))</f>
        <v>-</v>
      </c>
      <c r="AH23" s="56" t="str">
        <f ca="1">IF($H23=リスト!$AA$4,"-",
   IF($C23="-","-",
     IF(AH$4&gt;$P23,"-",
       IF(AH$4=1,$E23,OFFSET(AH23,0,-2)-OFFSET(AH23,0,-1)
))))</f>
        <v>-</v>
      </c>
      <c r="AI23" s="57" t="str">
        <f>IF($H23=リスト!$AA$4,"-",
 IF($C23="-","-",
  IF(AH$4&gt;$P23,"-",
   CHOOSE(MATCH($H$3,リスト!$AE$3:$AE$5,0),
    ROUNDUP(
      AH23*IF(AH23*$I23&lt;=$L23,$J23,$I23)*
      IF($P23=1,
         $S23/12,
         IF(AH$4=1,
            $T23/12,
            IF(AH$4=$P23,
               $U23/12,
               1
      ))),0),
    ROUNDDOWN(
      AH23*IF(AH23*$I23&lt;=$L23,$J23,$I23)*
      IF($P23=1,
         $S23/12,
         IF(AH$4=1,
            $T23/12,
            IF(AH$4=$P23,
               $U23/12,
               1
      ))),0),
    ROUND(
      AH23*IF(AH23*$I23&lt;=$L23,$J23,$I23)*
      IF($P23=1,
         $S23/12,
         IF(AH$4=1,
            $T23/12,
            IF(AH$4=$P23,
               $U23/12,
               1
      ))),0)
))))</f>
        <v>-</v>
      </c>
      <c r="AJ23" s="56" t="str">
        <f ca="1">IF($H23=リスト!$AA$4,"-",
   IF($C23="-","-",
     IF(AJ$4&gt;$P23,"-",
       IF(AJ$4=1,$E23,OFFSET(AJ23,0,-2)-OFFSET(AJ23,0,-1)
))))</f>
        <v>-</v>
      </c>
      <c r="AK23" s="57" t="str">
        <f>IF($H23=リスト!$AA$4,"-",
 IF($C23="-","-",
  IF(AJ$4&gt;$P23,"-",
   CHOOSE(MATCH($H$3,リスト!$AE$3:$AE$5,0),
    ROUNDUP(
      AJ23*IF(AJ23*$I23&lt;=$L23,$J23,$I23)*
      IF($P23=1,
         $S23/12,
         IF(AJ$4=1,
            $T23/12,
            IF(AJ$4=$P23,
               $U23/12,
               1
      ))),0),
    ROUNDDOWN(
      AJ23*IF(AJ23*$I23&lt;=$L23,$J23,$I23)*
      IF($P23=1,
         $S23/12,
         IF(AJ$4=1,
            $T23/12,
            IF(AJ$4=$P23,
               $U23/12,
               1
      ))),0),
    ROUND(
      AJ23*IF(AJ23*$I23&lt;=$L23,$J23,$I23)*
      IF($P23=1,
         $S23/12,
         IF(AJ$4=1,
            $T23/12,
            IF(AJ$4=$P23,
               $U23/12,
               1
      ))),0)
))))</f>
        <v>-</v>
      </c>
      <c r="AL23" s="56" t="str">
        <f ca="1">IF($H23=リスト!$AA$4,"-",
   IF($C23="-","-",
     IF(AL$4&gt;$P23,"-",
       IF(AL$4=1,$E23,OFFSET(AL23,0,-2)-OFFSET(AL23,0,-1)
))))</f>
        <v>-</v>
      </c>
      <c r="AM23" s="57" t="str">
        <f>IF($H23=リスト!$AA$4,"-",
 IF($C23="-","-",
  IF(AL$4&gt;$P23,"-",
   CHOOSE(MATCH($H$3,リスト!$AE$3:$AE$5,0),
    ROUNDUP(
      AL23*IF(AL23*$I23&lt;=$L23,$J23,$I23)*
      IF($P23=1,
         $S23/12,
         IF(AL$4=1,
            $T23/12,
            IF(AL$4=$P23,
               $U23/12,
               1
      ))),0),
    ROUNDDOWN(
      AL23*IF(AL23*$I23&lt;=$L23,$J23,$I23)*
      IF($P23=1,
         $S23/12,
         IF(AL$4=1,
            $T23/12,
            IF(AL$4=$P23,
               $U23/12,
               1
      ))),0),
    ROUND(
      AL23*IF(AL23*$I23&lt;=$L23,$J23,$I23)*
      IF($P23=1,
         $S23/12,
         IF(AL$4=1,
            $T23/12,
            IF(AL$4=$P23,
               $U23/12,
               1
      ))),0)
))))</f>
        <v>-</v>
      </c>
      <c r="AN23" s="56" t="str">
        <f ca="1">IF($H23=リスト!$AA$4,"-",
   IF($C23="-","-",
     IF(AN$4&gt;$P23,"-",
       IF(AN$4=1,$E23,OFFSET(AN23,0,-2)-OFFSET(AN23,0,-1)
))))</f>
        <v>-</v>
      </c>
      <c r="AO23" s="57" t="str">
        <f>IF($H23=リスト!$AA$4,"-",
 IF($C23="-","-",
  IF(AN$4&gt;$P23,"-",
   CHOOSE(MATCH($H$3,リスト!$AE$3:$AE$5,0),
    ROUNDUP(
      AN23*IF(AN23*$I23&lt;=$L23,$J23,$I23)*
      IF($P23=1,
         $S23/12,
         IF(AN$4=1,
            $T23/12,
            IF(AN$4=$P23,
               $U23/12,
               1
      ))),0),
    ROUNDDOWN(
      AN23*IF(AN23*$I23&lt;=$L23,$J23,$I23)*
      IF($P23=1,
         $S23/12,
         IF(AN$4=1,
            $T23/12,
            IF(AN$4=$P23,
               $U23/12,
               1
      ))),0),
    ROUND(
      AN23*IF(AN23*$I23&lt;=$L23,$J23,$I23)*
      IF($P23=1,
         $S23/12,
         IF(AN$4=1,
            $T23/12,
            IF(AN$4=$P23,
               $U23/12,
               1
      ))),0)
))))</f>
        <v>-</v>
      </c>
      <c r="AP23" s="56" t="str">
        <f ca="1">IF($H23=リスト!$AA$4,"-",
   IF($C23="-","-",
     IF(AP$4&gt;$P23,"-",
       IF(AP$4=1,$E23,OFFSET(AP23,0,-2)-OFFSET(AP23,0,-1)
))))</f>
        <v>-</v>
      </c>
      <c r="AQ23" s="57" t="str">
        <f>IF($H23=リスト!$AA$4,"-",
 IF($C23="-","-",
  IF(AP$4&gt;$P23,"-",
   CHOOSE(MATCH($H$3,リスト!$AE$3:$AE$5,0),
    ROUNDUP(
      AP23*IF(AP23*$I23&lt;=$L23,$J23,$I23)*
      IF($P23=1,
         $S23/12,
         IF(AP$4=1,
            $T23/12,
            IF(AP$4=$P23,
               $U23/12,
               1
      ))),0),
    ROUNDDOWN(
      AP23*IF(AP23*$I23&lt;=$L23,$J23,$I23)*
      IF($P23=1,
         $S23/12,
         IF(AP$4=1,
            $T23/12,
            IF(AP$4=$P23,
               $U23/12,
               1
      ))),0),
    ROUND(
      AP23*IF(AP23*$I23&lt;=$L23,$J23,$I23)*
      IF($P23=1,
         $S23/12,
         IF(AP$4=1,
            $T23/12,
            IF(AP$4=$P23,
               $U23/12,
               1
      ))),0)
))))</f>
        <v>-</v>
      </c>
      <c r="AR23" s="56" t="str">
        <f ca="1">IF($H23=リスト!$AA$4,"-",
   IF($C23="-","-",
     IF(AR$4&gt;$P23,"-",
       IF(AR$4=1,$E23,OFFSET(AR23,0,-2)-OFFSET(AR23,0,-1)
))))</f>
        <v>-</v>
      </c>
      <c r="AS23" s="57" t="str">
        <f>IF($H23=リスト!$AA$4,"-",
 IF($C23="-","-",
  IF(AR$4&gt;$P23,"-",
   CHOOSE(MATCH($H$3,リスト!$AE$3:$AE$5,0),
    ROUNDUP(
      AR23*IF(AR23*$I23&lt;=$L23,$J23,$I23)*
      IF($P23=1,
         $S23/12,
         IF(AR$4=1,
            $T23/12,
            IF(AR$4=$P23,
               $U23/12,
               1
      ))),0),
    ROUNDDOWN(
      AR23*IF(AR23*$I23&lt;=$L23,$J23,$I23)*
      IF($P23=1,
         $S23/12,
         IF(AR$4=1,
            $T23/12,
            IF(AR$4=$P23,
               $U23/12,
               1
      ))),0),
    ROUND(
      AR23*IF(AR23*$I23&lt;=$L23,$J23,$I23)*
      IF($P23=1,
         $S23/12,
         IF(AR$4=1,
            $T23/12,
            IF(AR$4=$P23,
               $U23/12,
               1
      ))),0)
))))</f>
        <v>-</v>
      </c>
      <c r="AT23" s="56" t="str">
        <f ca="1">IF($H23=リスト!$AA$4,"-",
   IF($C23="-","-",
     IF(AT$4&gt;$P23,"-",
       IF(AT$4=1,$E23,OFFSET(AT23,0,-2)-OFFSET(AT23,0,-1)
))))</f>
        <v>-</v>
      </c>
      <c r="AU23" s="57" t="str">
        <f>IF($H23=リスト!$AA$4,"-",
 IF($C23="-","-",
  IF(AT$4&gt;$P23,"-",
   CHOOSE(MATCH($H$3,リスト!$AE$3:$AE$5,0),
    ROUNDUP(
      AT23*IF(AT23*$I23&lt;=$L23,$J23,$I23)*
      IF($P23=1,
         $S23/12,
         IF(AT$4=1,
            $T23/12,
            IF(AT$4=$P23,
               $U23/12,
               1
      ))),0),
    ROUNDDOWN(
      AT23*IF(AT23*$I23&lt;=$L23,$J23,$I23)*
      IF($P23=1,
         $S23/12,
         IF(AT$4=1,
            $T23/12,
            IF(AT$4=$P23,
               $U23/12,
               1
      ))),0),
    ROUND(
      AT23*IF(AT23*$I23&lt;=$L23,$J23,$I23)*
      IF($P23=1,
         $S23/12,
         IF(AT$4=1,
            $T23/12,
            IF(AT$4=$P23,
               $U23/12,
               1
      ))),0)
))))</f>
        <v>-</v>
      </c>
      <c r="AV23" s="56" t="str">
        <f ca="1">IF($H23=リスト!$AA$4,"-",
   IF($C23="-","-",
     IF(AV$4&gt;$P23,"-",
       IF(AV$4=1,$E23,OFFSET(AV23,0,-2)-OFFSET(AV23,0,-1)
))))</f>
        <v>-</v>
      </c>
      <c r="AW23" s="57" t="str">
        <f>IF($H23=リスト!$AA$4,"-",
 IF($C23="-","-",
  IF(AV$4&gt;$P23,"-",
   CHOOSE(MATCH($H$3,リスト!$AE$3:$AE$5,0),
    ROUNDUP(
      AV23*IF(AV23*$I23&lt;=$L23,$J23,$I23)*
      IF($P23=1,
         $S23/12,
         IF(AV$4=1,
            $T23/12,
            IF(AV$4=$P23,
               $U23/12,
               1
      ))),0),
    ROUNDDOWN(
      AV23*IF(AV23*$I23&lt;=$L23,$J23,$I23)*
      IF($P23=1,
         $S23/12,
         IF(AV$4=1,
            $T23/12,
            IF(AV$4=$P23,
               $U23/12,
               1
      ))),0),
    ROUND(
      AV23*IF(AV23*$I23&lt;=$L23,$J23,$I23)*
      IF($P23=1,
         $S23/12,
         IF(AV$4=1,
            $T23/12,
            IF(AV$4=$P23,
               $U23/12,
               1
      ))),0)
))))</f>
        <v>-</v>
      </c>
      <c r="AX23" s="56" t="str">
        <f ca="1">IF($H23=リスト!$AA$4,"-",
   IF($C23="-","-",
     IF(AX$4&gt;$P23,"-",
       IF(AX$4=1,$E23,OFFSET(AX23,0,-2)-OFFSET(AX23,0,-1)
))))</f>
        <v>-</v>
      </c>
      <c r="AY23" s="57" t="str">
        <f>IF($H23=リスト!$AA$4,"-",
 IF($C23="-","-",
  IF(AX$4&gt;$P23,"-",
   CHOOSE(MATCH($H$3,リスト!$AE$3:$AE$5,0),
    ROUNDUP(
      AX23*IF(AX23*$I23&lt;=$L23,$J23,$I23)*
      IF($P23=1,
         $S23/12,
         IF(AX$4=1,
            $T23/12,
            IF(AX$4=$P23,
               $U23/12,
               1
      ))),0),
    ROUNDDOWN(
      AX23*IF(AX23*$I23&lt;=$L23,$J23,$I23)*
      IF($P23=1,
         $S23/12,
         IF(AX$4=1,
            $T23/12,
            IF(AX$4=$P23,
               $U23/12,
               1
      ))),0),
    ROUND(
      AX23*IF(AX23*$I23&lt;=$L23,$J23,$I23)*
      IF($P23=1,
         $S23/12,
         IF(AX$4=1,
            $T23/12,
            IF(AX$4=$P23,
               $U23/12,
               1
      ))),0)
))))</f>
        <v>-</v>
      </c>
      <c r="AZ23" s="56" t="str">
        <f ca="1">IF($H23=リスト!$AA$4,"-",
   IF($C23="-","-",
     IF(AZ$4&gt;$P23,"-",
       IF(AZ$4=1,$E23,OFFSET(AZ23,0,-2)-OFFSET(AZ23,0,-1)
))))</f>
        <v>-</v>
      </c>
      <c r="BA23" s="57" t="str">
        <f>IF($H23=リスト!$AA$4,"-",
 IF($C23="-","-",
  IF(AZ$4&gt;$P23,"-",
   CHOOSE(MATCH($H$3,リスト!$AE$3:$AE$5,0),
    ROUNDUP(
      AZ23*IF(AZ23*$I23&lt;=$L23,$J23,$I23)*
      IF($P23=1,
         $S23/12,
         IF(AZ$4=1,
            $T23/12,
            IF(AZ$4=$P23,
               $U23/12,
               1
      ))),0),
    ROUNDDOWN(
      AZ23*IF(AZ23*$I23&lt;=$L23,$J23,$I23)*
      IF($P23=1,
         $S23/12,
         IF(AZ$4=1,
            $T23/12,
            IF(AZ$4=$P23,
               $U23/12,
               1
      ))),0),
    ROUND(
      AZ23*IF(AZ23*$I23&lt;=$L23,$J23,$I23)*
      IF($P23=1,
         $S23/12,
         IF(AZ$4=1,
            $T23/12,
            IF(AZ$4=$P23,
               $U23/12,
               1
      ))),0)
))))</f>
        <v>-</v>
      </c>
      <c r="BB23" s="56" t="str">
        <f ca="1">IF($H23=リスト!$AA$4,"-",
   IF($C23="-","-",
     IF(BB$4&gt;$P23,"-",
       IF(BB$4=1,$E23,OFFSET(BB23,0,-2)-OFFSET(BB23,0,-1)
))))</f>
        <v>-</v>
      </c>
      <c r="BC23" s="57" t="str">
        <f>IF($H23=リスト!$AA$4,"-",
 IF($C23="-","-",
  IF(BB$4&gt;$P23,"-",
   CHOOSE(MATCH($H$3,リスト!$AE$3:$AE$5,0),
    ROUNDUP(
      BB23*IF(BB23*$I23&lt;=$L23,$J23,$I23)*
      IF($P23=1,
         $S23/12,
         IF(BB$4=1,
            $T23/12,
            IF(BB$4=$P23,
               $U23/12,
               1
      ))),0),
    ROUNDDOWN(
      BB23*IF(BB23*$I23&lt;=$L23,$J23,$I23)*
      IF($P23=1,
         $S23/12,
         IF(BB$4=1,
            $T23/12,
            IF(BB$4=$P23,
               $U23/12,
               1
      ))),0),
    ROUND(
      BB23*IF(BB23*$I23&lt;=$L23,$J23,$I23)*
      IF($P23=1,
         $S23/12,
         IF(BB$4=1,
            $T23/12,
            IF(BB$4=$P23,
               $U23/12,
               1
      ))),0)
))))</f>
        <v>-</v>
      </c>
      <c r="BD23" s="56" t="str">
        <f ca="1">IF($H23=リスト!$AA$4,"-",
   IF($C23="-","-",
     IF(BD$4&gt;$P23,"-",
       IF(BD$4=1,$E23,OFFSET(BD23,0,-2)-OFFSET(BD23,0,-1)
))))</f>
        <v>-</v>
      </c>
      <c r="BE23" s="57" t="str">
        <f>IF($H23=リスト!$AA$4,"-",
 IF($C23="-","-",
  IF(BD$4&gt;$P23,"-",
   CHOOSE(MATCH($H$3,リスト!$AE$3:$AE$5,0),
    ROUNDUP(
      BD23*IF(BD23*$I23&lt;=$L23,$J23,$I23)*
      IF($P23=1,
         $S23/12,
         IF(BD$4=1,
            $T23/12,
            IF(BD$4=$P23,
               $U23/12,
               1
      ))),0),
    ROUNDDOWN(
      BD23*IF(BD23*$I23&lt;=$L23,$J23,$I23)*
      IF($P23=1,
         $S23/12,
         IF(BD$4=1,
            $T23/12,
            IF(BD$4=$P23,
               $U23/12,
               1
      ))),0),
    ROUND(
      BD23*IF(BD23*$I23&lt;=$L23,$J23,$I23)*
      IF($P23=1,
         $S23/12,
         IF(BD$4=1,
            $T23/12,
            IF(BD$4=$P23,
               $U23/12,
               1
      ))),0)
))))</f>
        <v>-</v>
      </c>
      <c r="BF23" s="56" t="str">
        <f ca="1">IF($H23=リスト!$AA$4,"-",
   IF($C23="-","-",
     IF(BF$4&gt;$P23,"-",
       IF(BF$4=1,$E23,OFFSET(BF23,0,-2)-OFFSET(BF23,0,-1)
))))</f>
        <v>-</v>
      </c>
      <c r="BG23" s="57" t="str">
        <f>IF($H23=リスト!$AA$4,"-",
 IF($C23="-","-",
  IF(BF$4&gt;$P23,"-",
   CHOOSE(MATCH($H$3,リスト!$AE$3:$AE$5,0),
    ROUNDUP(
      BF23*IF(BF23*$I23&lt;=$L23,$J23,$I23)*
      IF($P23=1,
         $S23/12,
         IF(BF$4=1,
            $T23/12,
            IF(BF$4=$P23,
               $U23/12,
               1
      ))),0),
    ROUNDDOWN(
      BF23*IF(BF23*$I23&lt;=$L23,$J23,$I23)*
      IF($P23=1,
         $S23/12,
         IF(BF$4=1,
            $T23/12,
            IF(BF$4=$P23,
               $U23/12,
               1
      ))),0),
    ROUND(
      BF23*IF(BF23*$I23&lt;=$L23,$J23,$I23)*
      IF($P23=1,
         $S23/12,
         IF(BF$4=1,
            $T23/12,
            IF(BF$4=$P23,
               $U23/12,
               1
      ))),0)
))))</f>
        <v>-</v>
      </c>
      <c r="BH23" s="56" t="str">
        <f ca="1">IF($H23=リスト!$AA$4,"-",
   IF($C23="-","-",
     IF(BH$4&gt;$P23,"-",
       IF(BH$4=1,$E23,OFFSET(BH23,0,-2)-OFFSET(BH23,0,-1)
))))</f>
        <v>-</v>
      </c>
      <c r="BI23" s="57" t="str">
        <f>IF($H23=リスト!$AA$4,"-",
 IF($C23="-","-",
  IF(BH$4&gt;$P23,"-",
   CHOOSE(MATCH($H$3,リスト!$AE$3:$AE$5,0),
    ROUNDUP(
      BH23*IF(BH23*$I23&lt;=$L23,$J23,$I23)*
      IF($P23=1,
         $S23/12,
         IF(BH$4=1,
            $T23/12,
            IF(BH$4=$P23,
               $U23/12,
               1
      ))),0),
    ROUNDDOWN(
      BH23*IF(BH23*$I23&lt;=$L23,$J23,$I23)*
      IF($P23=1,
         $S23/12,
         IF(BH$4=1,
            $T23/12,
            IF(BH$4=$P23,
               $U23/12,
               1
      ))),0),
    ROUND(
      BH23*IF(BH23*$I23&lt;=$L23,$J23,$I23)*
      IF($P23=1,
         $S23/12,
         IF(BH$4=1,
            $T23/12,
            IF(BH$4=$P23,
               $U23/12,
               1
      ))),0)
))))</f>
        <v>-</v>
      </c>
      <c r="BJ23" s="56" t="str">
        <f ca="1">IF($H23=リスト!$AA$4,"-",
   IF($C23="-","-",
     IF(BJ$4&gt;$P23,"-",
       IF(BJ$4=1,$E23,OFFSET(BJ23,0,-2)-OFFSET(BJ23,0,-1)
))))</f>
        <v>-</v>
      </c>
      <c r="BK23" s="57" t="str">
        <f>IF($H23=リスト!$AA$4,"-",
 IF($C23="-","-",
  IF(BJ$4&gt;$P23,"-",
   CHOOSE(MATCH($H$3,リスト!$AE$3:$AE$5,0),
    ROUNDUP(
      BJ23*IF(BJ23*$I23&lt;=$L23,$J23,$I23)*
      IF($P23=1,
         $S23/12,
         IF(BJ$4=1,
            $T23/12,
            IF(BJ$4=$P23,
               $U23/12,
               1
      ))),0),
    ROUNDDOWN(
      BJ23*IF(BJ23*$I23&lt;=$L23,$J23,$I23)*
      IF($P23=1,
         $S23/12,
         IF(BJ$4=1,
            $T23/12,
            IF(BJ$4=$P23,
               $U23/12,
               1
      ))),0),
    ROUND(
      BJ23*IF(BJ23*$I23&lt;=$L23,$J23,$I23)*
      IF($P23=1,
         $S23/12,
         IF(BJ$4=1,
            $T23/12,
            IF(BJ$4=$P23,
               $U23/12,
               1
      ))),0)
))))</f>
        <v>-</v>
      </c>
      <c r="BL23" s="56" t="str">
        <f ca="1">IF($H23=リスト!$AA$4,"-",
   IF($C23="-","-",
     IF(BL$4&gt;$P23,"-",
       IF(BL$4=1,$E23,OFFSET(BL23,0,-2)-OFFSET(BL23,0,-1)
))))</f>
        <v>-</v>
      </c>
      <c r="BM23" s="57" t="str">
        <f>IF($H23=リスト!$AA$4,"-",
 IF($C23="-","-",
  IF(BL$4&gt;$P23,"-",
   CHOOSE(MATCH($H$3,リスト!$AE$3:$AE$5,0),
    ROUNDUP(
      BL23*IF(BL23*$I23&lt;=$L23,$J23,$I23)*
      IF($P23=1,
         $S23/12,
         IF(BL$4=1,
            $T23/12,
            IF(BL$4=$P23,
               $U23/12,
               1
      ))),0),
    ROUNDDOWN(
      BL23*IF(BL23*$I23&lt;=$L23,$J23,$I23)*
      IF($P23=1,
         $S23/12,
         IF(BL$4=1,
            $T23/12,
            IF(BL$4=$P23,
               $U23/12,
               1
      ))),0),
    ROUND(
      BL23*IF(BL23*$I23&lt;=$L23,$J23,$I23)*
      IF($P23=1,
         $S23/12,
         IF(BL$4=1,
            $T23/12,
            IF(BL$4=$P23,
               $U23/12,
               1
      ))),0)
))))</f>
        <v>-</v>
      </c>
      <c r="BN23" s="56" t="str">
        <f ca="1">IF($H23=リスト!$AA$4,"-",
   IF($C23="-","-",
     IF(BN$4&gt;$P23,"-",
       IF(BN$4=1,$E23,OFFSET(BN23,0,-2)-OFFSET(BN23,0,-1)
))))</f>
        <v>-</v>
      </c>
      <c r="BO23" s="57" t="str">
        <f>IF($H23=リスト!$AA$4,"-",
 IF($C23="-","-",
  IF(BN$4&gt;$P23,"-",
   CHOOSE(MATCH($H$3,リスト!$AE$3:$AE$5,0),
    ROUNDUP(
      BN23*IF(BN23*$I23&lt;=$L23,$J23,$I23)*
      IF($P23=1,
         $S23/12,
         IF(BN$4=1,
            $T23/12,
            IF(BN$4=$P23,
               $U23/12,
               1
      ))),0),
    ROUNDDOWN(
      BN23*IF(BN23*$I23&lt;=$L23,$J23,$I23)*
      IF($P23=1,
         $S23/12,
         IF(BN$4=1,
            $T23/12,
            IF(BN$4=$P23,
               $U23/12,
               1
      ))),0),
    ROUND(
      BN23*IF(BN23*$I23&lt;=$L23,$J23,$I23)*
      IF($P23=1,
         $S23/12,
         IF(BN$4=1,
            $T23/12,
            IF(BN$4=$P23,
               $U23/12,
               1
      ))),0)
))))</f>
        <v>-</v>
      </c>
      <c r="BP23" s="56" t="str">
        <f ca="1">IF($H23=リスト!$AA$4,"-",
   IF($C23="-","-",
     IF(BP$4&gt;$P23,"-",
       IF(BP$4=1,$E23,OFFSET(BP23,0,-2)-OFFSET(BP23,0,-1)
))))</f>
        <v>-</v>
      </c>
      <c r="BQ23" s="57" t="str">
        <f>IF($H23=リスト!$AA$4,"-",
 IF($C23="-","-",
  IF(BP$4&gt;$P23,"-",
   CHOOSE(MATCH($H$3,リスト!$AE$3:$AE$5,0),
    ROUNDUP(
      BP23*IF(BP23*$I23&lt;=$L23,$J23,$I23)*
      IF($P23=1,
         $S23/12,
         IF(BP$4=1,
            $T23/12,
            IF(BP$4=$P23,
               $U23/12,
               1
      ))),0),
    ROUNDDOWN(
      BP23*IF(BP23*$I23&lt;=$L23,$J23,$I23)*
      IF($P23=1,
         $S23/12,
         IF(BP$4=1,
            $T23/12,
            IF(BP$4=$P23,
               $U23/12,
               1
      ))),0),
    ROUND(
      BP23*IF(BP23*$I23&lt;=$L23,$J23,$I23)*
      IF($P23=1,
         $S23/12,
         IF(BP$4=1,
            $T23/12,
            IF(BP$4=$P23,
               $U23/12,
               1
      ))),0)
))))</f>
        <v>-</v>
      </c>
      <c r="BR23" s="56" t="str">
        <f ca="1">IF($H23=リスト!$AA$4,"-",
   IF($C23="-","-",
     IF(BR$4&gt;$P23,"-",
       IF(BR$4=1,$E23,OFFSET(BR23,0,-2)-OFFSET(BR23,0,-1)
))))</f>
        <v>-</v>
      </c>
      <c r="BS23" s="57" t="str">
        <f>IF($H23=リスト!$AA$4,"-",
 IF($C23="-","-",
  IF(BR$4&gt;$P23,"-",
   CHOOSE(MATCH($H$3,リスト!$AE$3:$AE$5,0),
    ROUNDUP(
      BR23*IF(BR23*$I23&lt;=$L23,$J23,$I23)*
      IF($P23=1,
         $S23/12,
         IF(BR$4=1,
            $T23/12,
            IF(BR$4=$P23,
               $U23/12,
               1
      ))),0),
    ROUNDDOWN(
      BR23*IF(BR23*$I23&lt;=$L23,$J23,$I23)*
      IF($P23=1,
         $S23/12,
         IF(BR$4=1,
            $T23/12,
            IF(BR$4=$P23,
               $U23/12,
               1
      ))),0),
    ROUND(
      BR23*IF(BR23*$I23&lt;=$L23,$J23,$I23)*
      IF($P23=1,
         $S23/12,
         IF(BR$4=1,
            $T23/12,
            IF(BR$4=$P23,
               $U23/12,
               1
      ))),0)
))))</f>
        <v>-</v>
      </c>
      <c r="BT23" s="56" t="str">
        <f ca="1">IF($H23=リスト!$AA$4,"-",
   IF($C23="-","-",
     IF(BT$4&gt;$P23,"-",
       IF(BT$4=1,$E23,OFFSET(BT23,0,-2)-OFFSET(BT23,0,-1)
))))</f>
        <v>-</v>
      </c>
      <c r="BU23" s="57" t="str">
        <f>IF($H23=リスト!$AA$4,"-",
 IF($C23="-","-",
  IF(BT$4&gt;$P23,"-",
   CHOOSE(MATCH($H$3,リスト!$AE$3:$AE$5,0),
    ROUNDUP(
      BT23*IF(BT23*$I23&lt;=$L23,$J23,$I23)*
      IF($P23=1,
         $S23/12,
         IF(BT$4=1,
            $T23/12,
            IF(BT$4=$P23,
               $U23/12,
               1
      ))),0),
    ROUNDDOWN(
      BT23*IF(BT23*$I23&lt;=$L23,$J23,$I23)*
      IF($P23=1,
         $S23/12,
         IF(BT$4=1,
            $T23/12,
            IF(BT$4=$P23,
               $U23/12,
               1
      ))),0),
    ROUND(
      BT23*IF(BT23*$I23&lt;=$L23,$J23,$I23)*
      IF($P23=1,
         $S23/12,
         IF(BT$4=1,
            $T23/12,
            IF(BT$4=$P23,
               $U23/12,
               1
      ))),0)
))))</f>
        <v>-</v>
      </c>
      <c r="BV23" s="56" t="str">
        <f ca="1">IF($H23=リスト!$AA$4,"-",
   IF($C23="-","-",
     IF(BV$4&gt;$P23,"-",
       IF(BV$4=1,$E23,OFFSET(BV23,0,-2)-OFFSET(BV23,0,-1)
))))</f>
        <v>-</v>
      </c>
      <c r="BW23" s="57" t="str">
        <f>IF($H23=リスト!$AA$4,"-",
 IF($C23="-","-",
  IF(BV$4&gt;$P23,"-",
   CHOOSE(MATCH($H$3,リスト!$AE$3:$AE$5,0),
    ROUNDUP(
      BV23*IF(BV23*$I23&lt;=$L23,$J23,$I23)*
      IF($P23=1,
         $S23/12,
         IF(BV$4=1,
            $T23/12,
            IF(BV$4=$P23,
               $U23/12,
               1
      ))),0),
    ROUNDDOWN(
      BV23*IF(BV23*$I23&lt;=$L23,$J23,$I23)*
      IF($P23=1,
         $S23/12,
         IF(BV$4=1,
            $T23/12,
            IF(BV$4=$P23,
               $U23/12,
               1
      ))),0),
    ROUND(
      BV23*IF(BV23*$I23&lt;=$L23,$J23,$I23)*
      IF($P23=1,
         $S23/12,
         IF(BV$4=1,
            $T23/12,
            IF(BV$4=$P23,
               $U23/12,
               1
      ))),0)
))))</f>
        <v>-</v>
      </c>
      <c r="BX23" s="56" t="str">
        <f ca="1">IF($H23=リスト!$AA$4,"-",
   IF($C23="-","-",
     IF(BX$4&gt;$P23,"-",
       IF(BX$4=1,$E23,OFFSET(BX23,0,-2)-OFFSET(BX23,0,-1)
))))</f>
        <v>-</v>
      </c>
      <c r="BY23" s="57" t="str">
        <f>IF($H23=リスト!$AA$4,"-",
 IF($C23="-","-",
  IF(BX$4&gt;$P23,"-",
   CHOOSE(MATCH($H$3,リスト!$AE$3:$AE$5,0),
    ROUNDUP(
      BX23*IF(BX23*$I23&lt;=$L23,$J23,$I23)*
      IF($P23=1,
         $S23/12,
         IF(BX$4=1,
            $T23/12,
            IF(BX$4=$P23,
               $U23/12,
               1
      ))),0),
    ROUNDDOWN(
      BX23*IF(BX23*$I23&lt;=$L23,$J23,$I23)*
      IF($P23=1,
         $S23/12,
         IF(BX$4=1,
            $T23/12,
            IF(BX$4=$P23,
               $U23/12,
               1
      ))),0),
    ROUND(
      BX23*IF(BX23*$I23&lt;=$L23,$J23,$I23)*
      IF($P23=1,
         $S23/12,
         IF(BX$4=1,
            $T23/12,
            IF(BX$4=$P23,
               $U23/12,
               1
      ))),0)
))))</f>
        <v>-</v>
      </c>
      <c r="BZ23" s="56" t="str">
        <f ca="1">IF($H23=リスト!$AA$4,"-",
   IF($C23="-","-",
     IF(BZ$4&gt;$P23,"-",
       IF(BZ$4=1,$E23,OFFSET(BZ23,0,-2)-OFFSET(BZ23,0,-1)
))))</f>
        <v>-</v>
      </c>
      <c r="CA23" s="57" t="str">
        <f>IF($H23=リスト!$AA$4,"-",
 IF($C23="-","-",
  IF(BZ$4&gt;$P23,"-",
   CHOOSE(MATCH($H$3,リスト!$AE$3:$AE$5,0),
    ROUNDUP(
      BZ23*IF(BZ23*$I23&lt;=$L23,$J23,$I23)*
      IF($P23=1,
         $S23/12,
         IF(BZ$4=1,
            $T23/12,
            IF(BZ$4=$P23,
               $U23/12,
               1
      ))),0),
    ROUNDDOWN(
      BZ23*IF(BZ23*$I23&lt;=$L23,$J23,$I23)*
      IF($P23=1,
         $S23/12,
         IF(BZ$4=1,
            $T23/12,
            IF(BZ$4=$P23,
               $U23/12,
               1
      ))),0),
    ROUND(
      BZ23*IF(BZ23*$I23&lt;=$L23,$J23,$I23)*
      IF($P23=1,
         $S23/12,
         IF(BZ$4=1,
            $T23/12,
            IF(BZ$4=$P23,
               $U23/12,
               1
      ))),0)
))))</f>
        <v>-</v>
      </c>
      <c r="CB23" s="56" t="str">
        <f ca="1">IF($H23=リスト!$AA$4,"-",
   IF($C23="-","-",
     IF(CB$4&gt;$P23,"-",
       IF(CB$4=1,$E23,OFFSET(CB23,0,-2)-OFFSET(CB23,0,-1)
))))</f>
        <v>-</v>
      </c>
      <c r="CC23" s="57" t="str">
        <f>IF($H23=リスト!$AA$4,"-",
 IF($C23="-","-",
  IF(CB$4&gt;$P23,"-",
   CHOOSE(MATCH($H$3,リスト!$AE$3:$AE$5,0),
    ROUNDUP(
      CB23*IF(CB23*$I23&lt;=$L23,$J23,$I23)*
      IF($P23=1,
         $S23/12,
         IF(CB$4=1,
            $T23/12,
            IF(CB$4=$P23,
               $U23/12,
               1
      ))),0),
    ROUNDDOWN(
      CB23*IF(CB23*$I23&lt;=$L23,$J23,$I23)*
      IF($P23=1,
         $S23/12,
         IF(CB$4=1,
            $T23/12,
            IF(CB$4=$P23,
               $U23/12,
               1
      ))),0),
    ROUND(
      CB23*IF(CB23*$I23&lt;=$L23,$J23,$I23)*
      IF($P23=1,
         $S23/12,
         IF(CB$4=1,
            $T23/12,
            IF(CB$4=$P23,
               $U23/12,
               1
      ))),0)
))))</f>
        <v>-</v>
      </c>
      <c r="CD23" s="56" t="str">
        <f ca="1">IF($H23=リスト!$AA$4,"-",
   IF($C23="-","-",
     IF(CD$4&gt;$P23,"-",
       IF(CD$4=1,$E23,OFFSET(CD23,0,-2)-OFFSET(CD23,0,-1)
))))</f>
        <v>-</v>
      </c>
      <c r="CE23" s="57" t="str">
        <f>IF($H23=リスト!$AA$4,"-",
 IF($C23="-","-",
  IF(CD$4&gt;$P23,"-",
   CHOOSE(MATCH($H$3,リスト!$AE$3:$AE$5,0),
    ROUNDUP(
      CD23*IF(CD23*$I23&lt;=$L23,$J23,$I23)*
      IF($P23=1,
         $S23/12,
         IF(CD$4=1,
            $T23/12,
            IF(CD$4=$P23,
               $U23/12,
               1
      ))),0),
    ROUNDDOWN(
      CD23*IF(CD23*$I23&lt;=$L23,$J23,$I23)*
      IF($P23=1,
         $S23/12,
         IF(CD$4=1,
            $T23/12,
            IF(CD$4=$P23,
               $U23/12,
               1
      ))),0),
    ROUND(
      CD23*IF(CD23*$I23&lt;=$L23,$J23,$I23)*
      IF($P23=1,
         $S23/12,
         IF(CD$4=1,
            $T23/12,
            IF(CD$4=$P23,
               $U23/12,
               1
      ))),0)
))))</f>
        <v>-</v>
      </c>
      <c r="CF23" s="56" t="str">
        <f ca="1">IF($H23=リスト!$AA$4,"-",
   IF($C23="-","-",
     IF(CF$4&gt;$P23,"-",
       IF(CF$4=1,$E23,OFFSET(CF23,0,-2)-OFFSET(CF23,0,-1)
))))</f>
        <v>-</v>
      </c>
      <c r="CG23" s="57" t="str">
        <f>IF($H23=リスト!$AA$4,"-",
 IF($C23="-","-",
  IF(CF$4&gt;$P23,"-",
   CHOOSE(MATCH($H$3,リスト!$AE$3:$AE$5,0),
    ROUNDUP(
      CF23*IF(CF23*$I23&lt;=$L23,$J23,$I23)*
      IF($P23=1,
         $S23/12,
         IF(CF$4=1,
            $T23/12,
            IF(CF$4=$P23,
               $U23/12,
               1
      ))),0),
    ROUNDDOWN(
      CF23*IF(CF23*$I23&lt;=$L23,$J23,$I23)*
      IF($P23=1,
         $S23/12,
         IF(CF$4=1,
            $T23/12,
            IF(CF$4=$P23,
               $U23/12,
               1
      ))),0),
    ROUND(
      CF23*IF(CF23*$I23&lt;=$L23,$J23,$I23)*
      IF($P23=1,
         $S23/12,
         IF(CF$4=1,
            $T23/12,
            IF(CF$4=$P23,
               $U23/12,
               1
      ))),0)
))))</f>
        <v>-</v>
      </c>
      <c r="CH23" s="56" t="str">
        <f ca="1">IF($H23=リスト!$AA$4,"-",
   IF($C23="-","-",
     IF(CH$4&gt;$P23,"-",
       IF(CH$4=1,$E23,OFFSET(CH23,0,-2)-OFFSET(CH23,0,-1)
))))</f>
        <v>-</v>
      </c>
      <c r="CI23" s="57" t="str">
        <f>IF($H23=リスト!$AA$4,"-",
 IF($C23="-","-",
  IF(CH$4&gt;$P23,"-",
   CHOOSE(MATCH($H$3,リスト!$AE$3:$AE$5,0),
    ROUNDUP(
      CH23*IF(CH23*$I23&lt;=$L23,$J23,$I23)*
      IF($P23=1,
         $S23/12,
         IF(CH$4=1,
            $T23/12,
            IF(CH$4=$P23,
               $U23/12,
               1
      ))),0),
    ROUNDDOWN(
      CH23*IF(CH23*$I23&lt;=$L23,$J23,$I23)*
      IF($P23=1,
         $S23/12,
         IF(CH$4=1,
            $T23/12,
            IF(CH$4=$P23,
               $U23/12,
               1
      ))),0),
    ROUND(
      CH23*IF(CH23*$I23&lt;=$L23,$J23,$I23)*
      IF($P23=1,
         $S23/12,
         IF(CH$4=1,
            $T23/12,
            IF(CH$4=$P23,
               $U23/12,
               1
      ))),0)
))))</f>
        <v>-</v>
      </c>
      <c r="CJ23" s="56" t="str">
        <f ca="1">IF($H23=リスト!$AA$4,"-",
   IF($C23="-","-",
     IF(CJ$4&gt;$P23,"-",
       IF(CJ$4=1,$E23,OFFSET(CJ23,0,-2)-OFFSET(CJ23,0,-1)
))))</f>
        <v>-</v>
      </c>
      <c r="CK23" s="57" t="str">
        <f>IF($H23=リスト!$AA$4,"-",
 IF($C23="-","-",
  IF(CJ$4&gt;$P23,"-",
   CHOOSE(MATCH($H$3,リスト!$AE$3:$AE$5,0),
    ROUNDUP(
      CJ23*IF(CJ23*$I23&lt;=$L23,$J23,$I23)*
      IF($P23=1,
         $S23/12,
         IF(CJ$4=1,
            $T23/12,
            IF(CJ$4=$P23,
               $U23/12,
               1
      ))),0),
    ROUNDDOWN(
      CJ23*IF(CJ23*$I23&lt;=$L23,$J23,$I23)*
      IF($P23=1,
         $S23/12,
         IF(CJ$4=1,
            $T23/12,
            IF(CJ$4=$P23,
               $U23/12,
               1
      ))),0),
    ROUND(
      CJ23*IF(CJ23*$I23&lt;=$L23,$J23,$I23)*
      IF($P23=1,
         $S23/12,
         IF(CJ$4=1,
            $T23/12,
            IF(CJ$4=$P23,
               $U23/12,
               1
      ))),0)
))))</f>
        <v>-</v>
      </c>
      <c r="CL23" s="56" t="str">
        <f ca="1">IF($H23=リスト!$AA$4,"-",
   IF($C23="-","-",
     IF(CL$4&gt;$P23,"-",
       IF(CL$4=1,$E23,OFFSET(CL23,0,-2)-OFFSET(CL23,0,-1)
))))</f>
        <v>-</v>
      </c>
      <c r="CM23" s="57" t="str">
        <f>IF($H23=リスト!$AA$4,"-",
 IF($C23="-","-",
  IF(CL$4&gt;$P23,"-",
   CHOOSE(MATCH($H$3,リスト!$AE$3:$AE$5,0),
    ROUNDUP(
      CL23*IF(CL23*$I23&lt;=$L23,$J23,$I23)*
      IF($P23=1,
         $S23/12,
         IF(CL$4=1,
            $T23/12,
            IF(CL$4=$P23,
               $U23/12,
               1
      ))),0),
    ROUNDDOWN(
      CL23*IF(CL23*$I23&lt;=$L23,$J23,$I23)*
      IF($P23=1,
         $S23/12,
         IF(CL$4=1,
            $T23/12,
            IF(CL$4=$P23,
               $U23/12,
               1
      ))),0),
    ROUND(
      CL23*IF(CL23*$I23&lt;=$L23,$J23,$I23)*
      IF($P23=1,
         $S23/12,
         IF(CL$4=1,
            $T23/12,
            IF(CL$4=$P23,
               $U23/12,
               1
      ))),0)
))))</f>
        <v>-</v>
      </c>
      <c r="CN23" s="56" t="str">
        <f ca="1">IF($H23=リスト!$AA$4,"-",
   IF($C23="-","-",
     IF(CN$4&gt;$P23,"-",
       IF(CN$4=1,$E23,OFFSET(CN23,0,-2)-OFFSET(CN23,0,-1)
))))</f>
        <v>-</v>
      </c>
      <c r="CO23" s="57" t="str">
        <f>IF($H23=リスト!$AA$4,"-",
 IF($C23="-","-",
  IF(CN$4&gt;$P23,"-",
   CHOOSE(MATCH($H$3,リスト!$AE$3:$AE$5,0),
    ROUNDUP(
      CN23*IF(CN23*$I23&lt;=$L23,$J23,$I23)*
      IF($P23=1,
         $S23/12,
         IF(CN$4=1,
            $T23/12,
            IF(CN$4=$P23,
               $U23/12,
               1
      ))),0),
    ROUNDDOWN(
      CN23*IF(CN23*$I23&lt;=$L23,$J23,$I23)*
      IF($P23=1,
         $S23/12,
         IF(CN$4=1,
            $T23/12,
            IF(CN$4=$P23,
               $U23/12,
               1
      ))),0),
    ROUND(
      CN23*IF(CN23*$I23&lt;=$L23,$J23,$I23)*
      IF($P23=1,
         $S23/12,
         IF(CN$4=1,
            $T23/12,
            IF(CN$4=$P23,
               $U23/12,
               1
      ))),0)
))))</f>
        <v>-</v>
      </c>
      <c r="CP23" s="56" t="str">
        <f ca="1">IF($H23=リスト!$AA$4,"-",
   IF($C23="-","-",
     IF(CP$4&gt;$P23,"-",
       IF(CP$4=1,$E23,OFFSET(CP23,0,-2)-OFFSET(CP23,0,-1)
))))</f>
        <v>-</v>
      </c>
      <c r="CQ23" s="57" t="str">
        <f>IF($H23=リスト!$AA$4,"-",
 IF($C23="-","-",
  IF(CP$4&gt;$P23,"-",
   CHOOSE(MATCH($H$3,リスト!$AE$3:$AE$5,0),
    ROUNDUP(
      CP23*IF(CP23*$I23&lt;=$L23,$J23,$I23)*
      IF($P23=1,
         $S23/12,
         IF(CP$4=1,
            $T23/12,
            IF(CP$4=$P23,
               $U23/12,
               1
      ))),0),
    ROUNDDOWN(
      CP23*IF(CP23*$I23&lt;=$L23,$J23,$I23)*
      IF($P23=1,
         $S23/12,
         IF(CP$4=1,
            $T23/12,
            IF(CP$4=$P23,
               $U23/12,
               1
      ))),0),
    ROUND(
      CP23*IF(CP23*$I23&lt;=$L23,$J23,$I23)*
      IF($P23=1,
         $S23/12,
         IF(CP$4=1,
            $T23/12,
            IF(CP$4=$P23,
               $U23/12,
               1
      ))),0)
))))</f>
        <v>-</v>
      </c>
      <c r="CR23" s="56" t="str">
        <f ca="1">IF($H23=リスト!$AA$4,"-",
   IF($C23="-","-",
     IF(CR$4&gt;$P23,"-",
       IF(CR$4=1,$E23,OFFSET(CR23,0,-2)-OFFSET(CR23,0,-1)
))))</f>
        <v>-</v>
      </c>
      <c r="CS23" s="57" t="str">
        <f>IF($H23=リスト!$AA$4,"-",
 IF($C23="-","-",
  IF(CR$4&gt;$P23,"-",
   CHOOSE(MATCH($H$3,リスト!$AE$3:$AE$5,0),
    ROUNDUP(
      CR23*IF(CR23*$I23&lt;=$L23,$J23,$I23)*
      IF($P23=1,
         $S23/12,
         IF(CR$4=1,
            $T23/12,
            IF(CR$4=$P23,
               $U23/12,
               1
      ))),0),
    ROUNDDOWN(
      CR23*IF(CR23*$I23&lt;=$L23,$J23,$I23)*
      IF($P23=1,
         $S23/12,
         IF(CR$4=1,
            $T23/12,
            IF(CR$4=$P23,
               $U23/12,
               1
      ))),0),
    ROUND(
      CR23*IF(CR23*$I23&lt;=$L23,$J23,$I23)*
      IF($P23=1,
         $S23/12,
         IF(CR$4=1,
            $T23/12,
            IF(CR$4=$P23,
               $U23/12,
               1
      ))),0)
))))</f>
        <v>-</v>
      </c>
      <c r="CT23" s="56" t="str">
        <f ca="1">IF($H23=リスト!$AA$4,"-",
   IF($C23="-","-",
     IF(CT$4&gt;$P23,"-",
       IF(CT$4=1,$E23,OFFSET(CT23,0,-2)-OFFSET(CT23,0,-1)
))))</f>
        <v>-</v>
      </c>
      <c r="CU23" s="57" t="str">
        <f>IF($H23=リスト!$AA$4,"-",
 IF($C23="-","-",
  IF(CT$4&gt;$P23,"-",
   CHOOSE(MATCH($H$3,リスト!$AE$3:$AE$5,0),
    ROUNDUP(
      CT23*IF(CT23*$I23&lt;=$L23,$J23,$I23)*
      IF($P23=1,
         $S23/12,
         IF(CT$4=1,
            $T23/12,
            IF(CT$4=$P23,
               $U23/12,
               1
      ))),0),
    ROUNDDOWN(
      CT23*IF(CT23*$I23&lt;=$L23,$J23,$I23)*
      IF($P23=1,
         $S23/12,
         IF(CT$4=1,
            $T23/12,
            IF(CT$4=$P23,
               $U23/12,
               1
      ))),0),
    ROUND(
      CT23*IF(CT23*$I23&lt;=$L23,$J23,$I23)*
      IF($P23=1,
         $S23/12,
         IF(CT$4=1,
            $T23/12,
            IF(CT$4=$P23,
               $U23/12,
               1
      ))),0)
))))</f>
        <v>-</v>
      </c>
      <c r="CV23" s="56" t="str">
        <f ca="1">IF($H23=リスト!$AA$4,"-",
   IF($C23="-","-",
     IF(CV$4&gt;$P23,"-",
       IF(CV$4=1,$E23,OFFSET(CV23,0,-2)-OFFSET(CV23,0,-1)
))))</f>
        <v>-</v>
      </c>
      <c r="CW23" s="57" t="str">
        <f>IF($H23=リスト!$AA$4,"-",
 IF($C23="-","-",
  IF(CV$4&gt;$P23,"-",
   CHOOSE(MATCH($H$3,リスト!$AE$3:$AE$5,0),
    ROUNDUP(
      CV23*IF(CV23*$I23&lt;=$L23,$J23,$I23)*
      IF($P23=1,
         $S23/12,
         IF(CV$4=1,
            $T23/12,
            IF(CV$4=$P23,
               $U23/12,
               1
      ))),0),
    ROUNDDOWN(
      CV23*IF(CV23*$I23&lt;=$L23,$J23,$I23)*
      IF($P23=1,
         $S23/12,
         IF(CV$4=1,
            $T23/12,
            IF(CV$4=$P23,
               $U23/12,
               1
      ))),0),
    ROUND(
      CV23*IF(CV23*$I23&lt;=$L23,$J23,$I23)*
      IF($P23=1,
         $S23/12,
         IF(CV$4=1,
            $T23/12,
            IF(CV$4=$P23,
               $U23/12,
               1
      ))),0)
))))</f>
        <v>-</v>
      </c>
      <c r="CX23" s="56" t="str">
        <f ca="1">IF($H23=リスト!$AA$4,"-",
   IF($C23="-","-",
     IF(CX$4&gt;$P23,"-",
       IF(CX$4=1,$E23,OFFSET(CX23,0,-2)-OFFSET(CX23,0,-1)
))))</f>
        <v>-</v>
      </c>
      <c r="CY23" s="57" t="str">
        <f>IF($H23=リスト!$AA$4,"-",
 IF($C23="-","-",
  IF(CX$4&gt;$P23,"-",
   CHOOSE(MATCH($H$3,リスト!$AE$3:$AE$5,0),
    ROUNDUP(
      CX23*IF(CX23*$I23&lt;=$L23,$J23,$I23)*
      IF($P23=1,
         $S23/12,
         IF(CX$4=1,
            $T23/12,
            IF(CX$4=$P23,
               $U23/12,
               1
      ))),0),
    ROUNDDOWN(
      CX23*IF(CX23*$I23&lt;=$L23,$J23,$I23)*
      IF($P23=1,
         $S23/12,
         IF(CX$4=1,
            $T23/12,
            IF(CX$4=$P23,
               $U23/12,
               1
      ))),0),
    ROUND(
      CX23*IF(CX23*$I23&lt;=$L23,$J23,$I23)*
      IF($P23=1,
         $S23/12,
         IF(CX$4=1,
            $T23/12,
            IF(CX$4=$P23,
               $U23/12,
               1
      ))),0)
))))</f>
        <v>-</v>
      </c>
      <c r="CZ23" s="56" t="str">
        <f ca="1">IF($H23=リスト!$AA$4,"-",
   IF($C23="-","-",
     IF(CZ$4&gt;$P23,"-",
       IF(CZ$4=1,$E23,OFFSET(CZ23,0,-2)-OFFSET(CZ23,0,-1)
))))</f>
        <v>-</v>
      </c>
      <c r="DA23" s="57" t="str">
        <f>IF($H23=リスト!$AA$4,"-",
 IF($C23="-","-",
  IF(CZ$4&gt;$P23,"-",
   CHOOSE(MATCH($H$3,リスト!$AE$3:$AE$5,0),
    ROUNDUP(
      CZ23*IF(CZ23*$I23&lt;=$L23,$J23,$I23)*
      IF($P23=1,
         $S23/12,
         IF(CZ$4=1,
            $T23/12,
            IF(CZ$4=$P23,
               $U23/12,
               1
      ))),0),
    ROUNDDOWN(
      CZ23*IF(CZ23*$I23&lt;=$L23,$J23,$I23)*
      IF($P23=1,
         $S23/12,
         IF(CZ$4=1,
            $T23/12,
            IF(CZ$4=$P23,
               $U23/12,
               1
      ))),0),
    ROUND(
      CZ23*IF(CZ23*$I23&lt;=$L23,$J23,$I23)*
      IF($P23=1,
         $S23/12,
         IF(CZ$4=1,
            $T23/12,
            IF(CZ$4=$P23,
               $U23/12,
               1
      ))),0)
))))</f>
        <v>-</v>
      </c>
      <c r="DB23" s="56" t="str">
        <f ca="1">IF($H23=リスト!$AA$4,"-",
   IF($C23="-","-",
     IF(DB$4&gt;$P23,"-",
       IF(DB$4=1,$E23,OFFSET(DB23,0,-2)-OFFSET(DB23,0,-1)
))))</f>
        <v>-</v>
      </c>
      <c r="DC23" s="57" t="str">
        <f>IF($H23=リスト!$AA$4,"-",
 IF($C23="-","-",
  IF(DB$4&gt;$P23,"-",
   CHOOSE(MATCH($H$3,リスト!$AE$3:$AE$5,0),
    ROUNDUP(
      DB23*IF(DB23*$I23&lt;=$L23,$J23,$I23)*
      IF($P23=1,
         $S23/12,
         IF(DB$4=1,
            $T23/12,
            IF(DB$4=$P23,
               $U23/12,
               1
      ))),0),
    ROUNDDOWN(
      DB23*IF(DB23*$I23&lt;=$L23,$J23,$I23)*
      IF($P23=1,
         $S23/12,
         IF(DB$4=1,
            $T23/12,
            IF(DB$4=$P23,
               $U23/12,
               1
      ))),0),
    ROUND(
      DB23*IF(DB23*$I23&lt;=$L23,$J23,$I23)*
      IF($P23=1,
         $S23/12,
         IF(DB$4=1,
            $T23/12,
            IF(DB$4=$P23,
               $U23/12,
               1
      ))),0)
))))</f>
        <v>-</v>
      </c>
      <c r="DD23" s="56" t="str">
        <f ca="1">IF($H23=リスト!$AA$4,"-",
   IF($C23="-","-",
     IF(DD$4&gt;$P23,"-",
       IF(DD$4=1,$E23,OFFSET(DD23,0,-2)-OFFSET(DD23,0,-1)
))))</f>
        <v>-</v>
      </c>
      <c r="DE23" s="57" t="str">
        <f>IF($H23=リスト!$AA$4,"-",
 IF($C23="-","-",
  IF(DD$4&gt;$P23,"-",
   CHOOSE(MATCH($H$3,リスト!$AE$3:$AE$5,0),
    ROUNDUP(
      DD23*IF(DD23*$I23&lt;=$L23,$J23,$I23)*
      IF($P23=1,
         $S23/12,
         IF(DD$4=1,
            $T23/12,
            IF(DD$4=$P23,
               $U23/12,
               1
      ))),0),
    ROUNDDOWN(
      DD23*IF(DD23*$I23&lt;=$L23,$J23,$I23)*
      IF($P23=1,
         $S23/12,
         IF(DD$4=1,
            $T23/12,
            IF(DD$4=$P23,
               $U23/12,
               1
      ))),0),
    ROUND(
      DD23*IF(DD23*$I23&lt;=$L23,$J23,$I23)*
      IF($P23=1,
         $S23/12,
         IF(DD$4=1,
            $T23/12,
            IF(DD$4=$P23,
               $U23/12,
               1
      ))),0)
))))</f>
        <v>-</v>
      </c>
      <c r="DF23" s="56" t="str">
        <f ca="1">IF($H23=リスト!$AA$4,"-",
   IF($C23="-","-",
     IF(DF$4&gt;$P23,"-",
       IF(DF$4=1,$E23,OFFSET(DF23,0,-2)-OFFSET(DF23,0,-1)
))))</f>
        <v>-</v>
      </c>
      <c r="DG23" s="57" t="str">
        <f>IF($H23=リスト!$AA$4,"-",
 IF($C23="-","-",
  IF(DF$4&gt;$P23,"-",
   CHOOSE(MATCH($H$3,リスト!$AE$3:$AE$5,0),
    ROUNDUP(
      DF23*IF(DF23*$I23&lt;=$L23,$J23,$I23)*
      IF($P23=1,
         $S23/12,
         IF(DF$4=1,
            $T23/12,
            IF(DF$4=$P23,
               $U23/12,
               1
      ))),0),
    ROUNDDOWN(
      DF23*IF(DF23*$I23&lt;=$L23,$J23,$I23)*
      IF($P23=1,
         $S23/12,
         IF(DF$4=1,
            $T23/12,
            IF(DF$4=$P23,
               $U23/12,
               1
      ))),0),
    ROUND(
      DF23*IF(DF23*$I23&lt;=$L23,$J23,$I23)*
      IF($P23=1,
         $S23/12,
         IF(DF$4=1,
            $T23/12,
            IF(DF$4=$P23,
               $U23/12,
               1
      ))),0)
))))</f>
        <v>-</v>
      </c>
      <c r="DH23" s="56" t="str">
        <f ca="1">IF($H23=リスト!$AA$4,"-",
   IF($C23="-","-",
     IF(DH$4&gt;$P23,"-",
       IF(DH$4=1,$E23,OFFSET(DH23,0,-2)-OFFSET(DH23,0,-1)
))))</f>
        <v>-</v>
      </c>
      <c r="DI23" s="57" t="str">
        <f>IF($H23=リスト!$AA$4,"-",
 IF($C23="-","-",
  IF(DH$4&gt;$P23,"-",
   CHOOSE(MATCH($H$3,リスト!$AE$3:$AE$5,0),
    ROUNDUP(
      DH23*IF(DH23*$I23&lt;=$L23,$J23,$I23)*
      IF($P23=1,
         $S23/12,
         IF(DH$4=1,
            $T23/12,
            IF(DH$4=$P23,
               $U23/12,
               1
      ))),0),
    ROUNDDOWN(
      DH23*IF(DH23*$I23&lt;=$L23,$J23,$I23)*
      IF($P23=1,
         $S23/12,
         IF(DH$4=1,
            $T23/12,
            IF(DH$4=$P23,
               $U23/12,
               1
      ))),0),
    ROUND(
      DH23*IF(DH23*$I23&lt;=$L23,$J23,$I23)*
      IF($P23=1,
         $S23/12,
         IF(DH$4=1,
            $T23/12,
            IF(DH$4=$P23,
               $U23/12,
               1
      ))),0)
))))</f>
        <v>-</v>
      </c>
      <c r="DJ23" s="56" t="str">
        <f ca="1">IF($H23=リスト!$AA$4,"-",
   IF($C23="-","-",
     IF(DJ$4&gt;$P23,"-",
       IF(DJ$4=1,$E23,OFFSET(DJ23,0,-2)-OFFSET(DJ23,0,-1)
))))</f>
        <v>-</v>
      </c>
      <c r="DK23" s="57" t="str">
        <f>IF($H23=リスト!$AA$4,"-",
 IF($C23="-","-",
  IF(DJ$4&gt;$P23,"-",
   CHOOSE(MATCH($H$3,リスト!$AE$3:$AE$5,0),
    ROUNDUP(
      DJ23*IF(DJ23*$I23&lt;=$L23,$J23,$I23)*
      IF($P23=1,
         $S23/12,
         IF(DJ$4=1,
            $T23/12,
            IF(DJ$4=$P23,
               $U23/12,
               1
      ))),0),
    ROUNDDOWN(
      DJ23*IF(DJ23*$I23&lt;=$L23,$J23,$I23)*
      IF($P23=1,
         $S23/12,
         IF(DJ$4=1,
            $T23/12,
            IF(DJ$4=$P23,
               $U23/12,
               1
      ))),0),
    ROUND(
      DJ23*IF(DJ23*$I23&lt;=$L23,$J23,$I23)*
      IF($P23=1,
         $S23/12,
         IF(DJ$4=1,
            $T23/12,
            IF(DJ$4=$P23,
               $U23/12,
               1
      ))),0)
))))</f>
        <v>-</v>
      </c>
      <c r="DL23" s="56" t="str">
        <f ca="1">IF($H23=リスト!$AA$4,"-",
   IF($C23="-","-",
     IF(DL$4&gt;$P23,"-",
       IF(DL$4=1,$E23,OFFSET(DL23,0,-2)-OFFSET(DL23,0,-1)
))))</f>
        <v>-</v>
      </c>
      <c r="DM23" s="57" t="str">
        <f>IF($H23=リスト!$AA$4,"-",
 IF($C23="-","-",
  IF(DL$4&gt;$P23,"-",
   CHOOSE(MATCH($H$3,リスト!$AE$3:$AE$5,0),
    ROUNDUP(
      DL23*IF(DL23*$I23&lt;=$L23,$J23,$I23)*
      IF($P23=1,
         $S23/12,
         IF(DL$4=1,
            $T23/12,
            IF(DL$4=$P23,
               $U23/12,
               1
      ))),0),
    ROUNDDOWN(
      DL23*IF(DL23*$I23&lt;=$L23,$J23,$I23)*
      IF($P23=1,
         $S23/12,
         IF(DL$4=1,
            $T23/12,
            IF(DL$4=$P23,
               $U23/12,
               1
      ))),0),
    ROUND(
      DL23*IF(DL23*$I23&lt;=$L23,$J23,$I23)*
      IF($P23=1,
         $S23/12,
         IF(DL$4=1,
            $T23/12,
            IF(DL$4=$P23,
               $U23/12,
               1
      ))),0)
))))</f>
        <v>-</v>
      </c>
      <c r="DN23" s="56" t="str">
        <f ca="1">IF($H23=リスト!$AA$4,"-",
   IF($C23="-","-",
     IF(DN$4&gt;$P23,"-",
       IF(DN$4=1,$E23,OFFSET(DN23,0,-2)-OFFSET(DN23,0,-1)
))))</f>
        <v>-</v>
      </c>
      <c r="DO23" s="57" t="str">
        <f>IF($H23=リスト!$AA$4,"-",
 IF($C23="-","-",
  IF(DN$4&gt;$P23,"-",
   CHOOSE(MATCH($H$3,リスト!$AE$3:$AE$5,0),
    ROUNDUP(
      DN23*IF(DN23*$I23&lt;=$L23,$J23,$I23)*
      IF($P23=1,
         $S23/12,
         IF(DN$4=1,
            $T23/12,
            IF(DN$4=$P23,
               $U23/12,
               1
      ))),0),
    ROUNDDOWN(
      DN23*IF(DN23*$I23&lt;=$L23,$J23,$I23)*
      IF($P23=1,
         $S23/12,
         IF(DN$4=1,
            $T23/12,
            IF(DN$4=$P23,
               $U23/12,
               1
      ))),0),
    ROUND(
      DN23*IF(DN23*$I23&lt;=$L23,$J23,$I23)*
      IF($P23=1,
         $S23/12,
         IF(DN$4=1,
            $T23/12,
            IF(DN$4=$P23,
               $U23/12,
               1
      ))),0)
))))</f>
        <v>-</v>
      </c>
      <c r="DP23" s="56" t="str">
        <f ca="1">IF($H23=リスト!$AA$4,"-",
   IF($C23="-","-",
     IF(DP$4&gt;$P23,"-",
       IF(DP$4=1,$E23,OFFSET(DP23,0,-2)-OFFSET(DP23,0,-1)
))))</f>
        <v>-</v>
      </c>
      <c r="DQ23" s="57" t="str">
        <f>IF($H23=リスト!$AA$4,"-",
 IF($C23="-","-",
  IF(DP$4&gt;$P23,"-",
   CHOOSE(MATCH($H$3,リスト!$AE$3:$AE$5,0),
    ROUNDUP(
      DP23*IF(DP23*$I23&lt;=$L23,$J23,$I23)*
      IF($P23=1,
         $S23/12,
         IF(DP$4=1,
            $T23/12,
            IF(DP$4=$P23,
               $U23/12,
               1
      ))),0),
    ROUNDDOWN(
      DP23*IF(DP23*$I23&lt;=$L23,$J23,$I23)*
      IF($P23=1,
         $S23/12,
         IF(DP$4=1,
            $T23/12,
            IF(DP$4=$P23,
               $U23/12,
               1
      ))),0),
    ROUND(
      DP23*IF(DP23*$I23&lt;=$L23,$J23,$I23)*
      IF($P23=1,
         $S23/12,
         IF(DP$4=1,
            $T23/12,
            IF(DP$4=$P23,
               $U23/12,
               1
      ))),0)
))))</f>
        <v>-</v>
      </c>
      <c r="DR23" s="56" t="str">
        <f ca="1">IF($H23=リスト!$AA$4,"-",
   IF($C23="-","-",
     IF(DR$4&gt;$P23,"-",
       IF(DR$4=1,$E23,OFFSET(DR23,0,-2)-OFFSET(DR23,0,-1)
))))</f>
        <v>-</v>
      </c>
      <c r="DS23" s="57" t="str">
        <f>IF($H23=リスト!$AA$4,"-",
 IF($C23="-","-",
  IF(DR$4&gt;$P23,"-",
   CHOOSE(MATCH($H$3,リスト!$AE$3:$AE$5,0),
    ROUNDUP(
      DR23*IF(DR23*$I23&lt;=$L23,$J23,$I23)*
      IF($P23=1,
         $S23/12,
         IF(DR$4=1,
            $T23/12,
            IF(DR$4=$P23,
               $U23/12,
               1
      ))),0),
    ROUNDDOWN(
      DR23*IF(DR23*$I23&lt;=$L23,$J23,$I23)*
      IF($P23=1,
         $S23/12,
         IF(DR$4=1,
            $T23/12,
            IF(DR$4=$P23,
               $U23/12,
               1
      ))),0),
    ROUND(
      DR23*IF(DR23*$I23&lt;=$L23,$J23,$I23)*
      IF($P23=1,
         $S23/12,
         IF(DR$4=1,
            $T23/12,
            IF(DR$4=$P23,
               $U23/12,
               1
      ))),0)
))))</f>
        <v>-</v>
      </c>
      <c r="DT23" s="56" t="str" cm="1">
        <f t="array" ref="DT23">IF($H23&lt;&gt;リスト!$AA$3,"-",$E23-SUMPRODUCT(IFERROR($Y23:$DS23*1,0), --(MOD(COLUMN($Y23:$DS23)-COLUMN($Y23),2)=0)))</f>
        <v>-</v>
      </c>
      <c r="DU23" s="56" t="str">
        <f>IF($H23&lt;&gt;リスト!$AA$4,"-",
    IF($H$3=リスト!$AE$3,$E23-ROUNDUP($E23*I23*$W23/12,0),
    IF($H$3=リスト!$AE$4,$E23-ROUNDDOWN($E23*I23*$W23/12,0),
    IF($H$3=リスト!$AE$5,$E23-ROUND($E23*I23*$W23/12,0),
    "-"))))</f>
        <v>-</v>
      </c>
    </row>
    <row r="24" spans="2:125">
      <c r="B24" s="54">
        <v>19</v>
      </c>
      <c r="C24" s="55" t="str">
        <f>IF(財産処分報告用!$C24="","-",財産処分報告用!$C24)</f>
        <v>-</v>
      </c>
      <c r="D24" s="55" t="str">
        <f>財産処分報告用!$E24</f>
        <v>-</v>
      </c>
      <c r="E24" s="56" t="str">
        <f>IF(財産処分報告用!$J24="","-",財産処分報告用!$J24)</f>
        <v>-</v>
      </c>
      <c r="F24" s="101" t="str">
        <f>IF(財産処分報告用!$K24="","-",財産処分報告用!$K24)</f>
        <v>-</v>
      </c>
      <c r="G24" s="101" t="str">
        <f>IF(財産処分報告用!$L24="","-",財産処分報告用!$L24)</f>
        <v>-</v>
      </c>
      <c r="H24" s="55" t="str">
        <f>IF(財産処分報告用!$M24="","-",財産処分報告用!$M24)</f>
        <v>-</v>
      </c>
      <c r="I24" s="55" t="str">
        <f>IF(OR($D24="-",$H24="-"),"-",INDEX(リスト!$AG$2:$AI$101,MATCH($D24,リスト!$AG$2:$AG$101,0),MATCH($H24,リスト!$AG$2:$AI$2,0)))</f>
        <v>-</v>
      </c>
      <c r="J24" s="55" t="str">
        <f>IF(OR($D24="-",$H24="-"),"-",IF($H24=リスト!$AA$4,"-",INDEX(リスト!$AG$2:$AK$101,MATCH($D24,リスト!$AG$2:$AG$101,0),4)))</f>
        <v>-</v>
      </c>
      <c r="K24" s="55" t="str">
        <f>IF(OR($D24="-",$H24="-"),"-",IF($H24=リスト!$AA$4,"-",INDEX(リスト!$AG$2:$AK$101,MATCH($D24,リスト!$AG$2:$AG$101,0),5)))</f>
        <v>-</v>
      </c>
      <c r="L24" s="55" t="str">
        <f t="shared" si="0"/>
        <v>-</v>
      </c>
      <c r="M24" s="101" t="str">
        <f t="shared" si="1"/>
        <v>-</v>
      </c>
      <c r="N24" s="101" t="str">
        <f t="shared" si="2"/>
        <v>-</v>
      </c>
      <c r="O24" s="101" t="str">
        <f t="shared" si="3"/>
        <v>-</v>
      </c>
      <c r="P24" s="102" t="str">
        <f t="shared" si="4"/>
        <v>-</v>
      </c>
      <c r="Q24" s="115" t="str">
        <f t="shared" si="5"/>
        <v>-</v>
      </c>
      <c r="R24" s="116" t="str">
        <f t="shared" si="6"/>
        <v>-</v>
      </c>
      <c r="S24" s="102" t="str">
        <f t="shared" si="7"/>
        <v>-</v>
      </c>
      <c r="T24" s="102" t="str">
        <f t="shared" si="8"/>
        <v>-</v>
      </c>
      <c r="U24" s="102" t="str">
        <f t="shared" si="9"/>
        <v>-</v>
      </c>
      <c r="V24" s="102" t="str">
        <f t="shared" si="10"/>
        <v>-</v>
      </c>
      <c r="W24" s="55" t="str">
        <f t="shared" si="11"/>
        <v>-</v>
      </c>
      <c r="X24" s="56" t="str">
        <f ca="1">IF($H24=リスト!$AA$4,"-",
   IF($C24="-","-",
     IF(X$4&gt;$P24,"-",
       IF(X$4=1,$E24,OFFSET(X24,0,-2)-OFFSET(X24,0,-1)
))))</f>
        <v>-</v>
      </c>
      <c r="Y24" s="57" t="str">
        <f>IF($H24=リスト!$AA$4,"-",
 IF($C24="-","-",
  IF(X$4&gt;$P24,"-",
   CHOOSE(MATCH($H$3,リスト!$AE$3:$AE$5,0),
    ROUNDUP(
      X24*IF(X24*$I24&lt;=$L24,$J24,$I24)*
      IF($P24=1,
         $S24/12,
         IF(X$4=1,
            $T24/12,
            IF(X$4=$P24,
               $U24/12,
               1
      ))),0),
    ROUNDDOWN(
      X24*IF(X24*$I24&lt;=$L24,$J24,$I24)*
      IF($P24=1,
         $S24/12,
         IF(X$4=1,
            $T24/12,
            IF(X$4=$P24,
               $U24/12,
               1
      ))),0),
    ROUND(
      X24*IF(X24*$I24&lt;=$L24,$J24,$I24)*
      IF($P24=1,
         $S24/12,
         IF(X$4=1,
            $T24/12,
            IF(X$4=$P24,
               $U24/12,
               1
      ))),0)
))))</f>
        <v>-</v>
      </c>
      <c r="Z24" s="56" t="str">
        <f ca="1">IF($H24=リスト!$AA$4,"-",
   IF($C24="-","-",
     IF(Z$4&gt;$P24,"-",
       IF(Z$4=1,$E24,OFFSET(Z24,0,-2)-OFFSET(Z24,0,-1)
))))</f>
        <v>-</v>
      </c>
      <c r="AA24" s="57" t="str">
        <f>IF($H24=リスト!$AA$4,"-",
 IF($C24="-","-",
  IF(Z$4&gt;$P24,"-",
   CHOOSE(MATCH($H$3,リスト!$AE$3:$AE$5,0),
    ROUNDUP(
      Z24*IF(Z24*$I24&lt;=$L24,$J24,$I24)*
      IF($P24=1,
         $S24/12,
         IF(Z$4=1,
            $T24/12,
            IF(Z$4=$P24,
               $U24/12,
               1
      ))),0),
    ROUNDDOWN(
      Z24*IF(Z24*$I24&lt;=$L24,$J24,$I24)*
      IF($P24=1,
         $S24/12,
         IF(Z$4=1,
            $T24/12,
            IF(Z$4=$P24,
               $U24/12,
               1
      ))),0),
    ROUND(
      Z24*IF(Z24*$I24&lt;=$L24,$J24,$I24)*
      IF($P24=1,
         $S24/12,
         IF(Z$4=1,
            $T24/12,
            IF(Z$4=$P24,
               $U24/12,
               1
      ))),0)
))))</f>
        <v>-</v>
      </c>
      <c r="AB24" s="56" t="str">
        <f ca="1">IF($H24=リスト!$AA$4,"-",
   IF($C24="-","-",
     IF(AB$4&gt;$P24,"-",
       IF(AB$4=1,$E24,OFFSET(AB24,0,-2)-OFFSET(AB24,0,-1)
))))</f>
        <v>-</v>
      </c>
      <c r="AC24" s="57" t="str">
        <f>IF($H24=リスト!$AA$4,"-",
 IF($C24="-","-",
  IF(AB$4&gt;$P24,"-",
   CHOOSE(MATCH($H$3,リスト!$AE$3:$AE$5,0),
    ROUNDUP(
      AB24*IF(AB24*$I24&lt;=$L24,$J24,$I24)*
      IF($P24=1,
         $S24/12,
         IF(AB$4=1,
            $T24/12,
            IF(AB$4=$P24,
               $U24/12,
               1
      ))),0),
    ROUNDDOWN(
      AB24*IF(AB24*$I24&lt;=$L24,$J24,$I24)*
      IF($P24=1,
         $S24/12,
         IF(AB$4=1,
            $T24/12,
            IF(AB$4=$P24,
               $U24/12,
               1
      ))),0),
    ROUND(
      AB24*IF(AB24*$I24&lt;=$L24,$J24,$I24)*
      IF($P24=1,
         $S24/12,
         IF(AB$4=1,
            $T24/12,
            IF(AB$4=$P24,
               $U24/12,
               1
      ))),0)
))))</f>
        <v>-</v>
      </c>
      <c r="AD24" s="56" t="str">
        <f ca="1">IF($H24=リスト!$AA$4,"-",
   IF($C24="-","-",
     IF(AD$4&gt;$P24,"-",
       IF(AD$4=1,$E24,OFFSET(AD24,0,-2)-OFFSET(AD24,0,-1)
))))</f>
        <v>-</v>
      </c>
      <c r="AE24" s="57" t="str">
        <f>IF($H24=リスト!$AA$4,"-",
 IF($C24="-","-",
  IF(AD$4&gt;$P24,"-",
   CHOOSE(MATCH($H$3,リスト!$AE$3:$AE$5,0),
    ROUNDUP(
      AD24*IF(AD24*$I24&lt;=$L24,$J24,$I24)*
      IF($P24=1,
         $S24/12,
         IF(AD$4=1,
            $T24/12,
            IF(AD$4=$P24,
               $U24/12,
               1
      ))),0),
    ROUNDDOWN(
      AD24*IF(AD24*$I24&lt;=$L24,$J24,$I24)*
      IF($P24=1,
         $S24/12,
         IF(AD$4=1,
            $T24/12,
            IF(AD$4=$P24,
               $U24/12,
               1
      ))),0),
    ROUND(
      AD24*IF(AD24*$I24&lt;=$L24,$J24,$I24)*
      IF($P24=1,
         $S24/12,
         IF(AD$4=1,
            $T24/12,
            IF(AD$4=$P24,
               $U24/12,
               1
      ))),0)
))))</f>
        <v>-</v>
      </c>
      <c r="AF24" s="56" t="str">
        <f ca="1">IF($H24=リスト!$AA$4,"-",
   IF($C24="-","-",
     IF(AF$4&gt;$P24,"-",
       IF(AF$4=1,$E24,OFFSET(AF24,0,-2)-OFFSET(AF24,0,-1)
))))</f>
        <v>-</v>
      </c>
      <c r="AG24" s="57" t="str">
        <f>IF($H24=リスト!$AA$4,"-",
 IF($C24="-","-",
  IF(AF$4&gt;$P24,"-",
   CHOOSE(MATCH($H$3,リスト!$AE$3:$AE$5,0),
    ROUNDUP(
      AF24*IF(AF24*$I24&lt;=$L24,$J24,$I24)*
      IF($P24=1,
         $S24/12,
         IF(AF$4=1,
            $T24/12,
            IF(AF$4=$P24,
               $U24/12,
               1
      ))),0),
    ROUNDDOWN(
      AF24*IF(AF24*$I24&lt;=$L24,$J24,$I24)*
      IF($P24=1,
         $S24/12,
         IF(AF$4=1,
            $T24/12,
            IF(AF$4=$P24,
               $U24/12,
               1
      ))),0),
    ROUND(
      AF24*IF(AF24*$I24&lt;=$L24,$J24,$I24)*
      IF($P24=1,
         $S24/12,
         IF(AF$4=1,
            $T24/12,
            IF(AF$4=$P24,
               $U24/12,
               1
      ))),0)
))))</f>
        <v>-</v>
      </c>
      <c r="AH24" s="56" t="str">
        <f ca="1">IF($H24=リスト!$AA$4,"-",
   IF($C24="-","-",
     IF(AH$4&gt;$P24,"-",
       IF(AH$4=1,$E24,OFFSET(AH24,0,-2)-OFFSET(AH24,0,-1)
))))</f>
        <v>-</v>
      </c>
      <c r="AI24" s="57" t="str">
        <f>IF($H24=リスト!$AA$4,"-",
 IF($C24="-","-",
  IF(AH$4&gt;$P24,"-",
   CHOOSE(MATCH($H$3,リスト!$AE$3:$AE$5,0),
    ROUNDUP(
      AH24*IF(AH24*$I24&lt;=$L24,$J24,$I24)*
      IF($P24=1,
         $S24/12,
         IF(AH$4=1,
            $T24/12,
            IF(AH$4=$P24,
               $U24/12,
               1
      ))),0),
    ROUNDDOWN(
      AH24*IF(AH24*$I24&lt;=$L24,$J24,$I24)*
      IF($P24=1,
         $S24/12,
         IF(AH$4=1,
            $T24/12,
            IF(AH$4=$P24,
               $U24/12,
               1
      ))),0),
    ROUND(
      AH24*IF(AH24*$I24&lt;=$L24,$J24,$I24)*
      IF($P24=1,
         $S24/12,
         IF(AH$4=1,
            $T24/12,
            IF(AH$4=$P24,
               $U24/12,
               1
      ))),0)
))))</f>
        <v>-</v>
      </c>
      <c r="AJ24" s="56" t="str">
        <f ca="1">IF($H24=リスト!$AA$4,"-",
   IF($C24="-","-",
     IF(AJ$4&gt;$P24,"-",
       IF(AJ$4=1,$E24,OFFSET(AJ24,0,-2)-OFFSET(AJ24,0,-1)
))))</f>
        <v>-</v>
      </c>
      <c r="AK24" s="57" t="str">
        <f>IF($H24=リスト!$AA$4,"-",
 IF($C24="-","-",
  IF(AJ$4&gt;$P24,"-",
   CHOOSE(MATCH($H$3,リスト!$AE$3:$AE$5,0),
    ROUNDUP(
      AJ24*IF(AJ24*$I24&lt;=$L24,$J24,$I24)*
      IF($P24=1,
         $S24/12,
         IF(AJ$4=1,
            $T24/12,
            IF(AJ$4=$P24,
               $U24/12,
               1
      ))),0),
    ROUNDDOWN(
      AJ24*IF(AJ24*$I24&lt;=$L24,$J24,$I24)*
      IF($P24=1,
         $S24/12,
         IF(AJ$4=1,
            $T24/12,
            IF(AJ$4=$P24,
               $U24/12,
               1
      ))),0),
    ROUND(
      AJ24*IF(AJ24*$I24&lt;=$L24,$J24,$I24)*
      IF($P24=1,
         $S24/12,
         IF(AJ$4=1,
            $T24/12,
            IF(AJ$4=$P24,
               $U24/12,
               1
      ))),0)
))))</f>
        <v>-</v>
      </c>
      <c r="AL24" s="56" t="str">
        <f ca="1">IF($H24=リスト!$AA$4,"-",
   IF($C24="-","-",
     IF(AL$4&gt;$P24,"-",
       IF(AL$4=1,$E24,OFFSET(AL24,0,-2)-OFFSET(AL24,0,-1)
))))</f>
        <v>-</v>
      </c>
      <c r="AM24" s="57" t="str">
        <f>IF($H24=リスト!$AA$4,"-",
 IF($C24="-","-",
  IF(AL$4&gt;$P24,"-",
   CHOOSE(MATCH($H$3,リスト!$AE$3:$AE$5,0),
    ROUNDUP(
      AL24*IF(AL24*$I24&lt;=$L24,$J24,$I24)*
      IF($P24=1,
         $S24/12,
         IF(AL$4=1,
            $T24/12,
            IF(AL$4=$P24,
               $U24/12,
               1
      ))),0),
    ROUNDDOWN(
      AL24*IF(AL24*$I24&lt;=$L24,$J24,$I24)*
      IF($P24=1,
         $S24/12,
         IF(AL$4=1,
            $T24/12,
            IF(AL$4=$P24,
               $U24/12,
               1
      ))),0),
    ROUND(
      AL24*IF(AL24*$I24&lt;=$L24,$J24,$I24)*
      IF($P24=1,
         $S24/12,
         IF(AL$4=1,
            $T24/12,
            IF(AL$4=$P24,
               $U24/12,
               1
      ))),0)
))))</f>
        <v>-</v>
      </c>
      <c r="AN24" s="56" t="str">
        <f ca="1">IF($H24=リスト!$AA$4,"-",
   IF($C24="-","-",
     IF(AN$4&gt;$P24,"-",
       IF(AN$4=1,$E24,OFFSET(AN24,0,-2)-OFFSET(AN24,0,-1)
))))</f>
        <v>-</v>
      </c>
      <c r="AO24" s="57" t="str">
        <f>IF($H24=リスト!$AA$4,"-",
 IF($C24="-","-",
  IF(AN$4&gt;$P24,"-",
   CHOOSE(MATCH($H$3,リスト!$AE$3:$AE$5,0),
    ROUNDUP(
      AN24*IF(AN24*$I24&lt;=$L24,$J24,$I24)*
      IF($P24=1,
         $S24/12,
         IF(AN$4=1,
            $T24/12,
            IF(AN$4=$P24,
               $U24/12,
               1
      ))),0),
    ROUNDDOWN(
      AN24*IF(AN24*$I24&lt;=$L24,$J24,$I24)*
      IF($P24=1,
         $S24/12,
         IF(AN$4=1,
            $T24/12,
            IF(AN$4=$P24,
               $U24/12,
               1
      ))),0),
    ROUND(
      AN24*IF(AN24*$I24&lt;=$L24,$J24,$I24)*
      IF($P24=1,
         $S24/12,
         IF(AN$4=1,
            $T24/12,
            IF(AN$4=$P24,
               $U24/12,
               1
      ))),0)
))))</f>
        <v>-</v>
      </c>
      <c r="AP24" s="56" t="str">
        <f ca="1">IF($H24=リスト!$AA$4,"-",
   IF($C24="-","-",
     IF(AP$4&gt;$P24,"-",
       IF(AP$4=1,$E24,OFFSET(AP24,0,-2)-OFFSET(AP24,0,-1)
))))</f>
        <v>-</v>
      </c>
      <c r="AQ24" s="57" t="str">
        <f>IF($H24=リスト!$AA$4,"-",
 IF($C24="-","-",
  IF(AP$4&gt;$P24,"-",
   CHOOSE(MATCH($H$3,リスト!$AE$3:$AE$5,0),
    ROUNDUP(
      AP24*IF(AP24*$I24&lt;=$L24,$J24,$I24)*
      IF($P24=1,
         $S24/12,
         IF(AP$4=1,
            $T24/12,
            IF(AP$4=$P24,
               $U24/12,
               1
      ))),0),
    ROUNDDOWN(
      AP24*IF(AP24*$I24&lt;=$L24,$J24,$I24)*
      IF($P24=1,
         $S24/12,
         IF(AP$4=1,
            $T24/12,
            IF(AP$4=$P24,
               $U24/12,
               1
      ))),0),
    ROUND(
      AP24*IF(AP24*$I24&lt;=$L24,$J24,$I24)*
      IF($P24=1,
         $S24/12,
         IF(AP$4=1,
            $T24/12,
            IF(AP$4=$P24,
               $U24/12,
               1
      ))),0)
))))</f>
        <v>-</v>
      </c>
      <c r="AR24" s="56" t="str">
        <f ca="1">IF($H24=リスト!$AA$4,"-",
   IF($C24="-","-",
     IF(AR$4&gt;$P24,"-",
       IF(AR$4=1,$E24,OFFSET(AR24,0,-2)-OFFSET(AR24,0,-1)
))))</f>
        <v>-</v>
      </c>
      <c r="AS24" s="57" t="str">
        <f>IF($H24=リスト!$AA$4,"-",
 IF($C24="-","-",
  IF(AR$4&gt;$P24,"-",
   CHOOSE(MATCH($H$3,リスト!$AE$3:$AE$5,0),
    ROUNDUP(
      AR24*IF(AR24*$I24&lt;=$L24,$J24,$I24)*
      IF($P24=1,
         $S24/12,
         IF(AR$4=1,
            $T24/12,
            IF(AR$4=$P24,
               $U24/12,
               1
      ))),0),
    ROUNDDOWN(
      AR24*IF(AR24*$I24&lt;=$L24,$J24,$I24)*
      IF($P24=1,
         $S24/12,
         IF(AR$4=1,
            $T24/12,
            IF(AR$4=$P24,
               $U24/12,
               1
      ))),0),
    ROUND(
      AR24*IF(AR24*$I24&lt;=$L24,$J24,$I24)*
      IF($P24=1,
         $S24/12,
         IF(AR$4=1,
            $T24/12,
            IF(AR$4=$P24,
               $U24/12,
               1
      ))),0)
))))</f>
        <v>-</v>
      </c>
      <c r="AT24" s="56" t="str">
        <f ca="1">IF($H24=リスト!$AA$4,"-",
   IF($C24="-","-",
     IF(AT$4&gt;$P24,"-",
       IF(AT$4=1,$E24,OFFSET(AT24,0,-2)-OFFSET(AT24,0,-1)
))))</f>
        <v>-</v>
      </c>
      <c r="AU24" s="57" t="str">
        <f>IF($H24=リスト!$AA$4,"-",
 IF($C24="-","-",
  IF(AT$4&gt;$P24,"-",
   CHOOSE(MATCH($H$3,リスト!$AE$3:$AE$5,0),
    ROUNDUP(
      AT24*IF(AT24*$I24&lt;=$L24,$J24,$I24)*
      IF($P24=1,
         $S24/12,
         IF(AT$4=1,
            $T24/12,
            IF(AT$4=$P24,
               $U24/12,
               1
      ))),0),
    ROUNDDOWN(
      AT24*IF(AT24*$I24&lt;=$L24,$J24,$I24)*
      IF($P24=1,
         $S24/12,
         IF(AT$4=1,
            $T24/12,
            IF(AT$4=$P24,
               $U24/12,
               1
      ))),0),
    ROUND(
      AT24*IF(AT24*$I24&lt;=$L24,$J24,$I24)*
      IF($P24=1,
         $S24/12,
         IF(AT$4=1,
            $T24/12,
            IF(AT$4=$P24,
               $U24/12,
               1
      ))),0)
))))</f>
        <v>-</v>
      </c>
      <c r="AV24" s="56" t="str">
        <f ca="1">IF($H24=リスト!$AA$4,"-",
   IF($C24="-","-",
     IF(AV$4&gt;$P24,"-",
       IF(AV$4=1,$E24,OFFSET(AV24,0,-2)-OFFSET(AV24,0,-1)
))))</f>
        <v>-</v>
      </c>
      <c r="AW24" s="57" t="str">
        <f>IF($H24=リスト!$AA$4,"-",
 IF($C24="-","-",
  IF(AV$4&gt;$P24,"-",
   CHOOSE(MATCH($H$3,リスト!$AE$3:$AE$5,0),
    ROUNDUP(
      AV24*IF(AV24*$I24&lt;=$L24,$J24,$I24)*
      IF($P24=1,
         $S24/12,
         IF(AV$4=1,
            $T24/12,
            IF(AV$4=$P24,
               $U24/12,
               1
      ))),0),
    ROUNDDOWN(
      AV24*IF(AV24*$I24&lt;=$L24,$J24,$I24)*
      IF($P24=1,
         $S24/12,
         IF(AV$4=1,
            $T24/12,
            IF(AV$4=$P24,
               $U24/12,
               1
      ))),0),
    ROUND(
      AV24*IF(AV24*$I24&lt;=$L24,$J24,$I24)*
      IF($P24=1,
         $S24/12,
         IF(AV$4=1,
            $T24/12,
            IF(AV$4=$P24,
               $U24/12,
               1
      ))),0)
))))</f>
        <v>-</v>
      </c>
      <c r="AX24" s="56" t="str">
        <f ca="1">IF($H24=リスト!$AA$4,"-",
   IF($C24="-","-",
     IF(AX$4&gt;$P24,"-",
       IF(AX$4=1,$E24,OFFSET(AX24,0,-2)-OFFSET(AX24,0,-1)
))))</f>
        <v>-</v>
      </c>
      <c r="AY24" s="57" t="str">
        <f>IF($H24=リスト!$AA$4,"-",
 IF($C24="-","-",
  IF(AX$4&gt;$P24,"-",
   CHOOSE(MATCH($H$3,リスト!$AE$3:$AE$5,0),
    ROUNDUP(
      AX24*IF(AX24*$I24&lt;=$L24,$J24,$I24)*
      IF($P24=1,
         $S24/12,
         IF(AX$4=1,
            $T24/12,
            IF(AX$4=$P24,
               $U24/12,
               1
      ))),0),
    ROUNDDOWN(
      AX24*IF(AX24*$I24&lt;=$L24,$J24,$I24)*
      IF($P24=1,
         $S24/12,
         IF(AX$4=1,
            $T24/12,
            IF(AX$4=$P24,
               $U24/12,
               1
      ))),0),
    ROUND(
      AX24*IF(AX24*$I24&lt;=$L24,$J24,$I24)*
      IF($P24=1,
         $S24/12,
         IF(AX$4=1,
            $T24/12,
            IF(AX$4=$P24,
               $U24/12,
               1
      ))),0)
))))</f>
        <v>-</v>
      </c>
      <c r="AZ24" s="56" t="str">
        <f ca="1">IF($H24=リスト!$AA$4,"-",
   IF($C24="-","-",
     IF(AZ$4&gt;$P24,"-",
       IF(AZ$4=1,$E24,OFFSET(AZ24,0,-2)-OFFSET(AZ24,0,-1)
))))</f>
        <v>-</v>
      </c>
      <c r="BA24" s="57" t="str">
        <f>IF($H24=リスト!$AA$4,"-",
 IF($C24="-","-",
  IF(AZ$4&gt;$P24,"-",
   CHOOSE(MATCH($H$3,リスト!$AE$3:$AE$5,0),
    ROUNDUP(
      AZ24*IF(AZ24*$I24&lt;=$L24,$J24,$I24)*
      IF($P24=1,
         $S24/12,
         IF(AZ$4=1,
            $T24/12,
            IF(AZ$4=$P24,
               $U24/12,
               1
      ))),0),
    ROUNDDOWN(
      AZ24*IF(AZ24*$I24&lt;=$L24,$J24,$I24)*
      IF($P24=1,
         $S24/12,
         IF(AZ$4=1,
            $T24/12,
            IF(AZ$4=$P24,
               $U24/12,
               1
      ))),0),
    ROUND(
      AZ24*IF(AZ24*$I24&lt;=$L24,$J24,$I24)*
      IF($P24=1,
         $S24/12,
         IF(AZ$4=1,
            $T24/12,
            IF(AZ$4=$P24,
               $U24/12,
               1
      ))),0)
))))</f>
        <v>-</v>
      </c>
      <c r="BB24" s="56" t="str">
        <f ca="1">IF($H24=リスト!$AA$4,"-",
   IF($C24="-","-",
     IF(BB$4&gt;$P24,"-",
       IF(BB$4=1,$E24,OFFSET(BB24,0,-2)-OFFSET(BB24,0,-1)
))))</f>
        <v>-</v>
      </c>
      <c r="BC24" s="57" t="str">
        <f>IF($H24=リスト!$AA$4,"-",
 IF($C24="-","-",
  IF(BB$4&gt;$P24,"-",
   CHOOSE(MATCH($H$3,リスト!$AE$3:$AE$5,0),
    ROUNDUP(
      BB24*IF(BB24*$I24&lt;=$L24,$J24,$I24)*
      IF($P24=1,
         $S24/12,
         IF(BB$4=1,
            $T24/12,
            IF(BB$4=$P24,
               $U24/12,
               1
      ))),0),
    ROUNDDOWN(
      BB24*IF(BB24*$I24&lt;=$L24,$J24,$I24)*
      IF($P24=1,
         $S24/12,
         IF(BB$4=1,
            $T24/12,
            IF(BB$4=$P24,
               $U24/12,
               1
      ))),0),
    ROUND(
      BB24*IF(BB24*$I24&lt;=$L24,$J24,$I24)*
      IF($P24=1,
         $S24/12,
         IF(BB$4=1,
            $T24/12,
            IF(BB$4=$P24,
               $U24/12,
               1
      ))),0)
))))</f>
        <v>-</v>
      </c>
      <c r="BD24" s="56" t="str">
        <f ca="1">IF($H24=リスト!$AA$4,"-",
   IF($C24="-","-",
     IF(BD$4&gt;$P24,"-",
       IF(BD$4=1,$E24,OFFSET(BD24,0,-2)-OFFSET(BD24,0,-1)
))))</f>
        <v>-</v>
      </c>
      <c r="BE24" s="57" t="str">
        <f>IF($H24=リスト!$AA$4,"-",
 IF($C24="-","-",
  IF(BD$4&gt;$P24,"-",
   CHOOSE(MATCH($H$3,リスト!$AE$3:$AE$5,0),
    ROUNDUP(
      BD24*IF(BD24*$I24&lt;=$L24,$J24,$I24)*
      IF($P24=1,
         $S24/12,
         IF(BD$4=1,
            $T24/12,
            IF(BD$4=$P24,
               $U24/12,
               1
      ))),0),
    ROUNDDOWN(
      BD24*IF(BD24*$I24&lt;=$L24,$J24,$I24)*
      IF($P24=1,
         $S24/12,
         IF(BD$4=1,
            $T24/12,
            IF(BD$4=$P24,
               $U24/12,
               1
      ))),0),
    ROUND(
      BD24*IF(BD24*$I24&lt;=$L24,$J24,$I24)*
      IF($P24=1,
         $S24/12,
         IF(BD$4=1,
            $T24/12,
            IF(BD$4=$P24,
               $U24/12,
               1
      ))),0)
))))</f>
        <v>-</v>
      </c>
      <c r="BF24" s="56" t="str">
        <f ca="1">IF($H24=リスト!$AA$4,"-",
   IF($C24="-","-",
     IF(BF$4&gt;$P24,"-",
       IF(BF$4=1,$E24,OFFSET(BF24,0,-2)-OFFSET(BF24,0,-1)
))))</f>
        <v>-</v>
      </c>
      <c r="BG24" s="57" t="str">
        <f>IF($H24=リスト!$AA$4,"-",
 IF($C24="-","-",
  IF(BF$4&gt;$P24,"-",
   CHOOSE(MATCH($H$3,リスト!$AE$3:$AE$5,0),
    ROUNDUP(
      BF24*IF(BF24*$I24&lt;=$L24,$J24,$I24)*
      IF($P24=1,
         $S24/12,
         IF(BF$4=1,
            $T24/12,
            IF(BF$4=$P24,
               $U24/12,
               1
      ))),0),
    ROUNDDOWN(
      BF24*IF(BF24*$I24&lt;=$L24,$J24,$I24)*
      IF($P24=1,
         $S24/12,
         IF(BF$4=1,
            $T24/12,
            IF(BF$4=$P24,
               $U24/12,
               1
      ))),0),
    ROUND(
      BF24*IF(BF24*$I24&lt;=$L24,$J24,$I24)*
      IF($P24=1,
         $S24/12,
         IF(BF$4=1,
            $T24/12,
            IF(BF$4=$P24,
               $U24/12,
               1
      ))),0)
))))</f>
        <v>-</v>
      </c>
      <c r="BH24" s="56" t="str">
        <f ca="1">IF($H24=リスト!$AA$4,"-",
   IF($C24="-","-",
     IF(BH$4&gt;$P24,"-",
       IF(BH$4=1,$E24,OFFSET(BH24,0,-2)-OFFSET(BH24,0,-1)
))))</f>
        <v>-</v>
      </c>
      <c r="BI24" s="57" t="str">
        <f>IF($H24=リスト!$AA$4,"-",
 IF($C24="-","-",
  IF(BH$4&gt;$P24,"-",
   CHOOSE(MATCH($H$3,リスト!$AE$3:$AE$5,0),
    ROUNDUP(
      BH24*IF(BH24*$I24&lt;=$L24,$J24,$I24)*
      IF($P24=1,
         $S24/12,
         IF(BH$4=1,
            $T24/12,
            IF(BH$4=$P24,
               $U24/12,
               1
      ))),0),
    ROUNDDOWN(
      BH24*IF(BH24*$I24&lt;=$L24,$J24,$I24)*
      IF($P24=1,
         $S24/12,
         IF(BH$4=1,
            $T24/12,
            IF(BH$4=$P24,
               $U24/12,
               1
      ))),0),
    ROUND(
      BH24*IF(BH24*$I24&lt;=$L24,$J24,$I24)*
      IF($P24=1,
         $S24/12,
         IF(BH$4=1,
            $T24/12,
            IF(BH$4=$P24,
               $U24/12,
               1
      ))),0)
))))</f>
        <v>-</v>
      </c>
      <c r="BJ24" s="56" t="str">
        <f ca="1">IF($H24=リスト!$AA$4,"-",
   IF($C24="-","-",
     IF(BJ$4&gt;$P24,"-",
       IF(BJ$4=1,$E24,OFFSET(BJ24,0,-2)-OFFSET(BJ24,0,-1)
))))</f>
        <v>-</v>
      </c>
      <c r="BK24" s="57" t="str">
        <f>IF($H24=リスト!$AA$4,"-",
 IF($C24="-","-",
  IF(BJ$4&gt;$P24,"-",
   CHOOSE(MATCH($H$3,リスト!$AE$3:$AE$5,0),
    ROUNDUP(
      BJ24*IF(BJ24*$I24&lt;=$L24,$J24,$I24)*
      IF($P24=1,
         $S24/12,
         IF(BJ$4=1,
            $T24/12,
            IF(BJ$4=$P24,
               $U24/12,
               1
      ))),0),
    ROUNDDOWN(
      BJ24*IF(BJ24*$I24&lt;=$L24,$J24,$I24)*
      IF($P24=1,
         $S24/12,
         IF(BJ$4=1,
            $T24/12,
            IF(BJ$4=$P24,
               $U24/12,
               1
      ))),0),
    ROUND(
      BJ24*IF(BJ24*$I24&lt;=$L24,$J24,$I24)*
      IF($P24=1,
         $S24/12,
         IF(BJ$4=1,
            $T24/12,
            IF(BJ$4=$P24,
               $U24/12,
               1
      ))),0)
))))</f>
        <v>-</v>
      </c>
      <c r="BL24" s="56" t="str">
        <f ca="1">IF($H24=リスト!$AA$4,"-",
   IF($C24="-","-",
     IF(BL$4&gt;$P24,"-",
       IF(BL$4=1,$E24,OFFSET(BL24,0,-2)-OFFSET(BL24,0,-1)
))))</f>
        <v>-</v>
      </c>
      <c r="BM24" s="57" t="str">
        <f>IF($H24=リスト!$AA$4,"-",
 IF($C24="-","-",
  IF(BL$4&gt;$P24,"-",
   CHOOSE(MATCH($H$3,リスト!$AE$3:$AE$5,0),
    ROUNDUP(
      BL24*IF(BL24*$I24&lt;=$L24,$J24,$I24)*
      IF($P24=1,
         $S24/12,
         IF(BL$4=1,
            $T24/12,
            IF(BL$4=$P24,
               $U24/12,
               1
      ))),0),
    ROUNDDOWN(
      BL24*IF(BL24*$I24&lt;=$L24,$J24,$I24)*
      IF($P24=1,
         $S24/12,
         IF(BL$4=1,
            $T24/12,
            IF(BL$4=$P24,
               $U24/12,
               1
      ))),0),
    ROUND(
      BL24*IF(BL24*$I24&lt;=$L24,$J24,$I24)*
      IF($P24=1,
         $S24/12,
         IF(BL$4=1,
            $T24/12,
            IF(BL$4=$P24,
               $U24/12,
               1
      ))),0)
))))</f>
        <v>-</v>
      </c>
      <c r="BN24" s="56" t="str">
        <f ca="1">IF($H24=リスト!$AA$4,"-",
   IF($C24="-","-",
     IF(BN$4&gt;$P24,"-",
       IF(BN$4=1,$E24,OFFSET(BN24,0,-2)-OFFSET(BN24,0,-1)
))))</f>
        <v>-</v>
      </c>
      <c r="BO24" s="57" t="str">
        <f>IF($H24=リスト!$AA$4,"-",
 IF($C24="-","-",
  IF(BN$4&gt;$P24,"-",
   CHOOSE(MATCH($H$3,リスト!$AE$3:$AE$5,0),
    ROUNDUP(
      BN24*IF(BN24*$I24&lt;=$L24,$J24,$I24)*
      IF($P24=1,
         $S24/12,
         IF(BN$4=1,
            $T24/12,
            IF(BN$4=$P24,
               $U24/12,
               1
      ))),0),
    ROUNDDOWN(
      BN24*IF(BN24*$I24&lt;=$L24,$J24,$I24)*
      IF($P24=1,
         $S24/12,
         IF(BN$4=1,
            $T24/12,
            IF(BN$4=$P24,
               $U24/12,
               1
      ))),0),
    ROUND(
      BN24*IF(BN24*$I24&lt;=$L24,$J24,$I24)*
      IF($P24=1,
         $S24/12,
         IF(BN$4=1,
            $T24/12,
            IF(BN$4=$P24,
               $U24/12,
               1
      ))),0)
))))</f>
        <v>-</v>
      </c>
      <c r="BP24" s="56" t="str">
        <f ca="1">IF($H24=リスト!$AA$4,"-",
   IF($C24="-","-",
     IF(BP$4&gt;$P24,"-",
       IF(BP$4=1,$E24,OFFSET(BP24,0,-2)-OFFSET(BP24,0,-1)
))))</f>
        <v>-</v>
      </c>
      <c r="BQ24" s="57" t="str">
        <f>IF($H24=リスト!$AA$4,"-",
 IF($C24="-","-",
  IF(BP$4&gt;$P24,"-",
   CHOOSE(MATCH($H$3,リスト!$AE$3:$AE$5,0),
    ROUNDUP(
      BP24*IF(BP24*$I24&lt;=$L24,$J24,$I24)*
      IF($P24=1,
         $S24/12,
         IF(BP$4=1,
            $T24/12,
            IF(BP$4=$P24,
               $U24/12,
               1
      ))),0),
    ROUNDDOWN(
      BP24*IF(BP24*$I24&lt;=$L24,$J24,$I24)*
      IF($P24=1,
         $S24/12,
         IF(BP$4=1,
            $T24/12,
            IF(BP$4=$P24,
               $U24/12,
               1
      ))),0),
    ROUND(
      BP24*IF(BP24*$I24&lt;=$L24,$J24,$I24)*
      IF($P24=1,
         $S24/12,
         IF(BP$4=1,
            $T24/12,
            IF(BP$4=$P24,
               $U24/12,
               1
      ))),0)
))))</f>
        <v>-</v>
      </c>
      <c r="BR24" s="56" t="str">
        <f ca="1">IF($H24=リスト!$AA$4,"-",
   IF($C24="-","-",
     IF(BR$4&gt;$P24,"-",
       IF(BR$4=1,$E24,OFFSET(BR24,0,-2)-OFFSET(BR24,0,-1)
))))</f>
        <v>-</v>
      </c>
      <c r="BS24" s="57" t="str">
        <f>IF($H24=リスト!$AA$4,"-",
 IF($C24="-","-",
  IF(BR$4&gt;$P24,"-",
   CHOOSE(MATCH($H$3,リスト!$AE$3:$AE$5,0),
    ROUNDUP(
      BR24*IF(BR24*$I24&lt;=$L24,$J24,$I24)*
      IF($P24=1,
         $S24/12,
         IF(BR$4=1,
            $T24/12,
            IF(BR$4=$P24,
               $U24/12,
               1
      ))),0),
    ROUNDDOWN(
      BR24*IF(BR24*$I24&lt;=$L24,$J24,$I24)*
      IF($P24=1,
         $S24/12,
         IF(BR$4=1,
            $T24/12,
            IF(BR$4=$P24,
               $U24/12,
               1
      ))),0),
    ROUND(
      BR24*IF(BR24*$I24&lt;=$L24,$J24,$I24)*
      IF($P24=1,
         $S24/12,
         IF(BR$4=1,
            $T24/12,
            IF(BR$4=$P24,
               $U24/12,
               1
      ))),0)
))))</f>
        <v>-</v>
      </c>
      <c r="BT24" s="56" t="str">
        <f ca="1">IF($H24=リスト!$AA$4,"-",
   IF($C24="-","-",
     IF(BT$4&gt;$P24,"-",
       IF(BT$4=1,$E24,OFFSET(BT24,0,-2)-OFFSET(BT24,0,-1)
))))</f>
        <v>-</v>
      </c>
      <c r="BU24" s="57" t="str">
        <f>IF($H24=リスト!$AA$4,"-",
 IF($C24="-","-",
  IF(BT$4&gt;$P24,"-",
   CHOOSE(MATCH($H$3,リスト!$AE$3:$AE$5,0),
    ROUNDUP(
      BT24*IF(BT24*$I24&lt;=$L24,$J24,$I24)*
      IF($P24=1,
         $S24/12,
         IF(BT$4=1,
            $T24/12,
            IF(BT$4=$P24,
               $U24/12,
               1
      ))),0),
    ROUNDDOWN(
      BT24*IF(BT24*$I24&lt;=$L24,$J24,$I24)*
      IF($P24=1,
         $S24/12,
         IF(BT$4=1,
            $T24/12,
            IF(BT$4=$P24,
               $U24/12,
               1
      ))),0),
    ROUND(
      BT24*IF(BT24*$I24&lt;=$L24,$J24,$I24)*
      IF($P24=1,
         $S24/12,
         IF(BT$4=1,
            $T24/12,
            IF(BT$4=$P24,
               $U24/12,
               1
      ))),0)
))))</f>
        <v>-</v>
      </c>
      <c r="BV24" s="56" t="str">
        <f ca="1">IF($H24=リスト!$AA$4,"-",
   IF($C24="-","-",
     IF(BV$4&gt;$P24,"-",
       IF(BV$4=1,$E24,OFFSET(BV24,0,-2)-OFFSET(BV24,0,-1)
))))</f>
        <v>-</v>
      </c>
      <c r="BW24" s="57" t="str">
        <f>IF($H24=リスト!$AA$4,"-",
 IF($C24="-","-",
  IF(BV$4&gt;$P24,"-",
   CHOOSE(MATCH($H$3,リスト!$AE$3:$AE$5,0),
    ROUNDUP(
      BV24*IF(BV24*$I24&lt;=$L24,$J24,$I24)*
      IF($P24=1,
         $S24/12,
         IF(BV$4=1,
            $T24/12,
            IF(BV$4=$P24,
               $U24/12,
               1
      ))),0),
    ROUNDDOWN(
      BV24*IF(BV24*$I24&lt;=$L24,$J24,$I24)*
      IF($P24=1,
         $S24/12,
         IF(BV$4=1,
            $T24/12,
            IF(BV$4=$P24,
               $U24/12,
               1
      ))),0),
    ROUND(
      BV24*IF(BV24*$I24&lt;=$L24,$J24,$I24)*
      IF($P24=1,
         $S24/12,
         IF(BV$4=1,
            $T24/12,
            IF(BV$4=$P24,
               $U24/12,
               1
      ))),0)
))))</f>
        <v>-</v>
      </c>
      <c r="BX24" s="56" t="str">
        <f ca="1">IF($H24=リスト!$AA$4,"-",
   IF($C24="-","-",
     IF(BX$4&gt;$P24,"-",
       IF(BX$4=1,$E24,OFFSET(BX24,0,-2)-OFFSET(BX24,0,-1)
))))</f>
        <v>-</v>
      </c>
      <c r="BY24" s="57" t="str">
        <f>IF($H24=リスト!$AA$4,"-",
 IF($C24="-","-",
  IF(BX$4&gt;$P24,"-",
   CHOOSE(MATCH($H$3,リスト!$AE$3:$AE$5,0),
    ROUNDUP(
      BX24*IF(BX24*$I24&lt;=$L24,$J24,$I24)*
      IF($P24=1,
         $S24/12,
         IF(BX$4=1,
            $T24/12,
            IF(BX$4=$P24,
               $U24/12,
               1
      ))),0),
    ROUNDDOWN(
      BX24*IF(BX24*$I24&lt;=$L24,$J24,$I24)*
      IF($P24=1,
         $S24/12,
         IF(BX$4=1,
            $T24/12,
            IF(BX$4=$P24,
               $U24/12,
               1
      ))),0),
    ROUND(
      BX24*IF(BX24*$I24&lt;=$L24,$J24,$I24)*
      IF($P24=1,
         $S24/12,
         IF(BX$4=1,
            $T24/12,
            IF(BX$4=$P24,
               $U24/12,
               1
      ))),0)
))))</f>
        <v>-</v>
      </c>
      <c r="BZ24" s="56" t="str">
        <f ca="1">IF($H24=リスト!$AA$4,"-",
   IF($C24="-","-",
     IF(BZ$4&gt;$P24,"-",
       IF(BZ$4=1,$E24,OFFSET(BZ24,0,-2)-OFFSET(BZ24,0,-1)
))))</f>
        <v>-</v>
      </c>
      <c r="CA24" s="57" t="str">
        <f>IF($H24=リスト!$AA$4,"-",
 IF($C24="-","-",
  IF(BZ$4&gt;$P24,"-",
   CHOOSE(MATCH($H$3,リスト!$AE$3:$AE$5,0),
    ROUNDUP(
      BZ24*IF(BZ24*$I24&lt;=$L24,$J24,$I24)*
      IF($P24=1,
         $S24/12,
         IF(BZ$4=1,
            $T24/12,
            IF(BZ$4=$P24,
               $U24/12,
               1
      ))),0),
    ROUNDDOWN(
      BZ24*IF(BZ24*$I24&lt;=$L24,$J24,$I24)*
      IF($P24=1,
         $S24/12,
         IF(BZ$4=1,
            $T24/12,
            IF(BZ$4=$P24,
               $U24/12,
               1
      ))),0),
    ROUND(
      BZ24*IF(BZ24*$I24&lt;=$L24,$J24,$I24)*
      IF($P24=1,
         $S24/12,
         IF(BZ$4=1,
            $T24/12,
            IF(BZ$4=$P24,
               $U24/12,
               1
      ))),0)
))))</f>
        <v>-</v>
      </c>
      <c r="CB24" s="56" t="str">
        <f ca="1">IF($H24=リスト!$AA$4,"-",
   IF($C24="-","-",
     IF(CB$4&gt;$P24,"-",
       IF(CB$4=1,$E24,OFFSET(CB24,0,-2)-OFFSET(CB24,0,-1)
))))</f>
        <v>-</v>
      </c>
      <c r="CC24" s="57" t="str">
        <f>IF($H24=リスト!$AA$4,"-",
 IF($C24="-","-",
  IF(CB$4&gt;$P24,"-",
   CHOOSE(MATCH($H$3,リスト!$AE$3:$AE$5,0),
    ROUNDUP(
      CB24*IF(CB24*$I24&lt;=$L24,$J24,$I24)*
      IF($P24=1,
         $S24/12,
         IF(CB$4=1,
            $T24/12,
            IF(CB$4=$P24,
               $U24/12,
               1
      ))),0),
    ROUNDDOWN(
      CB24*IF(CB24*$I24&lt;=$L24,$J24,$I24)*
      IF($P24=1,
         $S24/12,
         IF(CB$4=1,
            $T24/12,
            IF(CB$4=$P24,
               $U24/12,
               1
      ))),0),
    ROUND(
      CB24*IF(CB24*$I24&lt;=$L24,$J24,$I24)*
      IF($P24=1,
         $S24/12,
         IF(CB$4=1,
            $T24/12,
            IF(CB$4=$P24,
               $U24/12,
               1
      ))),0)
))))</f>
        <v>-</v>
      </c>
      <c r="CD24" s="56" t="str">
        <f ca="1">IF($H24=リスト!$AA$4,"-",
   IF($C24="-","-",
     IF(CD$4&gt;$P24,"-",
       IF(CD$4=1,$E24,OFFSET(CD24,0,-2)-OFFSET(CD24,0,-1)
))))</f>
        <v>-</v>
      </c>
      <c r="CE24" s="57" t="str">
        <f>IF($H24=リスト!$AA$4,"-",
 IF($C24="-","-",
  IF(CD$4&gt;$P24,"-",
   CHOOSE(MATCH($H$3,リスト!$AE$3:$AE$5,0),
    ROUNDUP(
      CD24*IF(CD24*$I24&lt;=$L24,$J24,$I24)*
      IF($P24=1,
         $S24/12,
         IF(CD$4=1,
            $T24/12,
            IF(CD$4=$P24,
               $U24/12,
               1
      ))),0),
    ROUNDDOWN(
      CD24*IF(CD24*$I24&lt;=$L24,$J24,$I24)*
      IF($P24=1,
         $S24/12,
         IF(CD$4=1,
            $T24/12,
            IF(CD$4=$P24,
               $U24/12,
               1
      ))),0),
    ROUND(
      CD24*IF(CD24*$I24&lt;=$L24,$J24,$I24)*
      IF($P24=1,
         $S24/12,
         IF(CD$4=1,
            $T24/12,
            IF(CD$4=$P24,
               $U24/12,
               1
      ))),0)
))))</f>
        <v>-</v>
      </c>
      <c r="CF24" s="56" t="str">
        <f ca="1">IF($H24=リスト!$AA$4,"-",
   IF($C24="-","-",
     IF(CF$4&gt;$P24,"-",
       IF(CF$4=1,$E24,OFFSET(CF24,0,-2)-OFFSET(CF24,0,-1)
))))</f>
        <v>-</v>
      </c>
      <c r="CG24" s="57" t="str">
        <f>IF($H24=リスト!$AA$4,"-",
 IF($C24="-","-",
  IF(CF$4&gt;$P24,"-",
   CHOOSE(MATCH($H$3,リスト!$AE$3:$AE$5,0),
    ROUNDUP(
      CF24*IF(CF24*$I24&lt;=$L24,$J24,$I24)*
      IF($P24=1,
         $S24/12,
         IF(CF$4=1,
            $T24/12,
            IF(CF$4=$P24,
               $U24/12,
               1
      ))),0),
    ROUNDDOWN(
      CF24*IF(CF24*$I24&lt;=$L24,$J24,$I24)*
      IF($P24=1,
         $S24/12,
         IF(CF$4=1,
            $T24/12,
            IF(CF$4=$P24,
               $U24/12,
               1
      ))),0),
    ROUND(
      CF24*IF(CF24*$I24&lt;=$L24,$J24,$I24)*
      IF($P24=1,
         $S24/12,
         IF(CF$4=1,
            $T24/12,
            IF(CF$4=$P24,
               $U24/12,
               1
      ))),0)
))))</f>
        <v>-</v>
      </c>
      <c r="CH24" s="56" t="str">
        <f ca="1">IF($H24=リスト!$AA$4,"-",
   IF($C24="-","-",
     IF(CH$4&gt;$P24,"-",
       IF(CH$4=1,$E24,OFFSET(CH24,0,-2)-OFFSET(CH24,0,-1)
))))</f>
        <v>-</v>
      </c>
      <c r="CI24" s="57" t="str">
        <f>IF($H24=リスト!$AA$4,"-",
 IF($C24="-","-",
  IF(CH$4&gt;$P24,"-",
   CHOOSE(MATCH($H$3,リスト!$AE$3:$AE$5,0),
    ROUNDUP(
      CH24*IF(CH24*$I24&lt;=$L24,$J24,$I24)*
      IF($P24=1,
         $S24/12,
         IF(CH$4=1,
            $T24/12,
            IF(CH$4=$P24,
               $U24/12,
               1
      ))),0),
    ROUNDDOWN(
      CH24*IF(CH24*$I24&lt;=$L24,$J24,$I24)*
      IF($P24=1,
         $S24/12,
         IF(CH$4=1,
            $T24/12,
            IF(CH$4=$P24,
               $U24/12,
               1
      ))),0),
    ROUND(
      CH24*IF(CH24*$I24&lt;=$L24,$J24,$I24)*
      IF($P24=1,
         $S24/12,
         IF(CH$4=1,
            $T24/12,
            IF(CH$4=$P24,
               $U24/12,
               1
      ))),0)
))))</f>
        <v>-</v>
      </c>
      <c r="CJ24" s="56" t="str">
        <f ca="1">IF($H24=リスト!$AA$4,"-",
   IF($C24="-","-",
     IF(CJ$4&gt;$P24,"-",
       IF(CJ$4=1,$E24,OFFSET(CJ24,0,-2)-OFFSET(CJ24,0,-1)
))))</f>
        <v>-</v>
      </c>
      <c r="CK24" s="57" t="str">
        <f>IF($H24=リスト!$AA$4,"-",
 IF($C24="-","-",
  IF(CJ$4&gt;$P24,"-",
   CHOOSE(MATCH($H$3,リスト!$AE$3:$AE$5,0),
    ROUNDUP(
      CJ24*IF(CJ24*$I24&lt;=$L24,$J24,$I24)*
      IF($P24=1,
         $S24/12,
         IF(CJ$4=1,
            $T24/12,
            IF(CJ$4=$P24,
               $U24/12,
               1
      ))),0),
    ROUNDDOWN(
      CJ24*IF(CJ24*$I24&lt;=$L24,$J24,$I24)*
      IF($P24=1,
         $S24/12,
         IF(CJ$4=1,
            $T24/12,
            IF(CJ$4=$P24,
               $U24/12,
               1
      ))),0),
    ROUND(
      CJ24*IF(CJ24*$I24&lt;=$L24,$J24,$I24)*
      IF($P24=1,
         $S24/12,
         IF(CJ$4=1,
            $T24/12,
            IF(CJ$4=$P24,
               $U24/12,
               1
      ))),0)
))))</f>
        <v>-</v>
      </c>
      <c r="CL24" s="56" t="str">
        <f ca="1">IF($H24=リスト!$AA$4,"-",
   IF($C24="-","-",
     IF(CL$4&gt;$P24,"-",
       IF(CL$4=1,$E24,OFFSET(CL24,0,-2)-OFFSET(CL24,0,-1)
))))</f>
        <v>-</v>
      </c>
      <c r="CM24" s="57" t="str">
        <f>IF($H24=リスト!$AA$4,"-",
 IF($C24="-","-",
  IF(CL$4&gt;$P24,"-",
   CHOOSE(MATCH($H$3,リスト!$AE$3:$AE$5,0),
    ROUNDUP(
      CL24*IF(CL24*$I24&lt;=$L24,$J24,$I24)*
      IF($P24=1,
         $S24/12,
         IF(CL$4=1,
            $T24/12,
            IF(CL$4=$P24,
               $U24/12,
               1
      ))),0),
    ROUNDDOWN(
      CL24*IF(CL24*$I24&lt;=$L24,$J24,$I24)*
      IF($P24=1,
         $S24/12,
         IF(CL$4=1,
            $T24/12,
            IF(CL$4=$P24,
               $U24/12,
               1
      ))),0),
    ROUND(
      CL24*IF(CL24*$I24&lt;=$L24,$J24,$I24)*
      IF($P24=1,
         $S24/12,
         IF(CL$4=1,
            $T24/12,
            IF(CL$4=$P24,
               $U24/12,
               1
      ))),0)
))))</f>
        <v>-</v>
      </c>
      <c r="CN24" s="56" t="str">
        <f ca="1">IF($H24=リスト!$AA$4,"-",
   IF($C24="-","-",
     IF(CN$4&gt;$P24,"-",
       IF(CN$4=1,$E24,OFFSET(CN24,0,-2)-OFFSET(CN24,0,-1)
))))</f>
        <v>-</v>
      </c>
      <c r="CO24" s="57" t="str">
        <f>IF($H24=リスト!$AA$4,"-",
 IF($C24="-","-",
  IF(CN$4&gt;$P24,"-",
   CHOOSE(MATCH($H$3,リスト!$AE$3:$AE$5,0),
    ROUNDUP(
      CN24*IF(CN24*$I24&lt;=$L24,$J24,$I24)*
      IF($P24=1,
         $S24/12,
         IF(CN$4=1,
            $T24/12,
            IF(CN$4=$P24,
               $U24/12,
               1
      ))),0),
    ROUNDDOWN(
      CN24*IF(CN24*$I24&lt;=$L24,$J24,$I24)*
      IF($P24=1,
         $S24/12,
         IF(CN$4=1,
            $T24/12,
            IF(CN$4=$P24,
               $U24/12,
               1
      ))),0),
    ROUND(
      CN24*IF(CN24*$I24&lt;=$L24,$J24,$I24)*
      IF($P24=1,
         $S24/12,
         IF(CN$4=1,
            $T24/12,
            IF(CN$4=$P24,
               $U24/12,
               1
      ))),0)
))))</f>
        <v>-</v>
      </c>
      <c r="CP24" s="56" t="str">
        <f ca="1">IF($H24=リスト!$AA$4,"-",
   IF($C24="-","-",
     IF(CP$4&gt;$P24,"-",
       IF(CP$4=1,$E24,OFFSET(CP24,0,-2)-OFFSET(CP24,0,-1)
))))</f>
        <v>-</v>
      </c>
      <c r="CQ24" s="57" t="str">
        <f>IF($H24=リスト!$AA$4,"-",
 IF($C24="-","-",
  IF(CP$4&gt;$P24,"-",
   CHOOSE(MATCH($H$3,リスト!$AE$3:$AE$5,0),
    ROUNDUP(
      CP24*IF(CP24*$I24&lt;=$L24,$J24,$I24)*
      IF($P24=1,
         $S24/12,
         IF(CP$4=1,
            $T24/12,
            IF(CP$4=$P24,
               $U24/12,
               1
      ))),0),
    ROUNDDOWN(
      CP24*IF(CP24*$I24&lt;=$L24,$J24,$I24)*
      IF($P24=1,
         $S24/12,
         IF(CP$4=1,
            $T24/12,
            IF(CP$4=$P24,
               $U24/12,
               1
      ))),0),
    ROUND(
      CP24*IF(CP24*$I24&lt;=$L24,$J24,$I24)*
      IF($P24=1,
         $S24/12,
         IF(CP$4=1,
            $T24/12,
            IF(CP$4=$P24,
               $U24/12,
               1
      ))),0)
))))</f>
        <v>-</v>
      </c>
      <c r="CR24" s="56" t="str">
        <f ca="1">IF($H24=リスト!$AA$4,"-",
   IF($C24="-","-",
     IF(CR$4&gt;$P24,"-",
       IF(CR$4=1,$E24,OFFSET(CR24,0,-2)-OFFSET(CR24,0,-1)
))))</f>
        <v>-</v>
      </c>
      <c r="CS24" s="57" t="str">
        <f>IF($H24=リスト!$AA$4,"-",
 IF($C24="-","-",
  IF(CR$4&gt;$P24,"-",
   CHOOSE(MATCH($H$3,リスト!$AE$3:$AE$5,0),
    ROUNDUP(
      CR24*IF(CR24*$I24&lt;=$L24,$J24,$I24)*
      IF($P24=1,
         $S24/12,
         IF(CR$4=1,
            $T24/12,
            IF(CR$4=$P24,
               $U24/12,
               1
      ))),0),
    ROUNDDOWN(
      CR24*IF(CR24*$I24&lt;=$L24,$J24,$I24)*
      IF($P24=1,
         $S24/12,
         IF(CR$4=1,
            $T24/12,
            IF(CR$4=$P24,
               $U24/12,
               1
      ))),0),
    ROUND(
      CR24*IF(CR24*$I24&lt;=$L24,$J24,$I24)*
      IF($P24=1,
         $S24/12,
         IF(CR$4=1,
            $T24/12,
            IF(CR$4=$P24,
               $U24/12,
               1
      ))),0)
))))</f>
        <v>-</v>
      </c>
      <c r="CT24" s="56" t="str">
        <f ca="1">IF($H24=リスト!$AA$4,"-",
   IF($C24="-","-",
     IF(CT$4&gt;$P24,"-",
       IF(CT$4=1,$E24,OFFSET(CT24,0,-2)-OFFSET(CT24,0,-1)
))))</f>
        <v>-</v>
      </c>
      <c r="CU24" s="57" t="str">
        <f>IF($H24=リスト!$AA$4,"-",
 IF($C24="-","-",
  IF(CT$4&gt;$P24,"-",
   CHOOSE(MATCH($H$3,リスト!$AE$3:$AE$5,0),
    ROUNDUP(
      CT24*IF(CT24*$I24&lt;=$L24,$J24,$I24)*
      IF($P24=1,
         $S24/12,
         IF(CT$4=1,
            $T24/12,
            IF(CT$4=$P24,
               $U24/12,
               1
      ))),0),
    ROUNDDOWN(
      CT24*IF(CT24*$I24&lt;=$L24,$J24,$I24)*
      IF($P24=1,
         $S24/12,
         IF(CT$4=1,
            $T24/12,
            IF(CT$4=$P24,
               $U24/12,
               1
      ))),0),
    ROUND(
      CT24*IF(CT24*$I24&lt;=$L24,$J24,$I24)*
      IF($P24=1,
         $S24/12,
         IF(CT$4=1,
            $T24/12,
            IF(CT$4=$P24,
               $U24/12,
               1
      ))),0)
))))</f>
        <v>-</v>
      </c>
      <c r="CV24" s="56" t="str">
        <f ca="1">IF($H24=リスト!$AA$4,"-",
   IF($C24="-","-",
     IF(CV$4&gt;$P24,"-",
       IF(CV$4=1,$E24,OFFSET(CV24,0,-2)-OFFSET(CV24,0,-1)
))))</f>
        <v>-</v>
      </c>
      <c r="CW24" s="57" t="str">
        <f>IF($H24=リスト!$AA$4,"-",
 IF($C24="-","-",
  IF(CV$4&gt;$P24,"-",
   CHOOSE(MATCH($H$3,リスト!$AE$3:$AE$5,0),
    ROUNDUP(
      CV24*IF(CV24*$I24&lt;=$L24,$J24,$I24)*
      IF($P24=1,
         $S24/12,
         IF(CV$4=1,
            $T24/12,
            IF(CV$4=$P24,
               $U24/12,
               1
      ))),0),
    ROUNDDOWN(
      CV24*IF(CV24*$I24&lt;=$L24,$J24,$I24)*
      IF($P24=1,
         $S24/12,
         IF(CV$4=1,
            $T24/12,
            IF(CV$4=$P24,
               $U24/12,
               1
      ))),0),
    ROUND(
      CV24*IF(CV24*$I24&lt;=$L24,$J24,$I24)*
      IF($P24=1,
         $S24/12,
         IF(CV$4=1,
            $T24/12,
            IF(CV$4=$P24,
               $U24/12,
               1
      ))),0)
))))</f>
        <v>-</v>
      </c>
      <c r="CX24" s="56" t="str">
        <f ca="1">IF($H24=リスト!$AA$4,"-",
   IF($C24="-","-",
     IF(CX$4&gt;$P24,"-",
       IF(CX$4=1,$E24,OFFSET(CX24,0,-2)-OFFSET(CX24,0,-1)
))))</f>
        <v>-</v>
      </c>
      <c r="CY24" s="57" t="str">
        <f>IF($H24=リスト!$AA$4,"-",
 IF($C24="-","-",
  IF(CX$4&gt;$P24,"-",
   CHOOSE(MATCH($H$3,リスト!$AE$3:$AE$5,0),
    ROUNDUP(
      CX24*IF(CX24*$I24&lt;=$L24,$J24,$I24)*
      IF($P24=1,
         $S24/12,
         IF(CX$4=1,
            $T24/12,
            IF(CX$4=$P24,
               $U24/12,
               1
      ))),0),
    ROUNDDOWN(
      CX24*IF(CX24*$I24&lt;=$L24,$J24,$I24)*
      IF($P24=1,
         $S24/12,
         IF(CX$4=1,
            $T24/12,
            IF(CX$4=$P24,
               $U24/12,
               1
      ))),0),
    ROUND(
      CX24*IF(CX24*$I24&lt;=$L24,$J24,$I24)*
      IF($P24=1,
         $S24/12,
         IF(CX$4=1,
            $T24/12,
            IF(CX$4=$P24,
               $U24/12,
               1
      ))),0)
))))</f>
        <v>-</v>
      </c>
      <c r="CZ24" s="56" t="str">
        <f ca="1">IF($H24=リスト!$AA$4,"-",
   IF($C24="-","-",
     IF(CZ$4&gt;$P24,"-",
       IF(CZ$4=1,$E24,OFFSET(CZ24,0,-2)-OFFSET(CZ24,0,-1)
))))</f>
        <v>-</v>
      </c>
      <c r="DA24" s="57" t="str">
        <f>IF($H24=リスト!$AA$4,"-",
 IF($C24="-","-",
  IF(CZ$4&gt;$P24,"-",
   CHOOSE(MATCH($H$3,リスト!$AE$3:$AE$5,0),
    ROUNDUP(
      CZ24*IF(CZ24*$I24&lt;=$L24,$J24,$I24)*
      IF($P24=1,
         $S24/12,
         IF(CZ$4=1,
            $T24/12,
            IF(CZ$4=$P24,
               $U24/12,
               1
      ))),0),
    ROUNDDOWN(
      CZ24*IF(CZ24*$I24&lt;=$L24,$J24,$I24)*
      IF($P24=1,
         $S24/12,
         IF(CZ$4=1,
            $T24/12,
            IF(CZ$4=$P24,
               $U24/12,
               1
      ))),0),
    ROUND(
      CZ24*IF(CZ24*$I24&lt;=$L24,$J24,$I24)*
      IF($P24=1,
         $S24/12,
         IF(CZ$4=1,
            $T24/12,
            IF(CZ$4=$P24,
               $U24/12,
               1
      ))),0)
))))</f>
        <v>-</v>
      </c>
      <c r="DB24" s="56" t="str">
        <f ca="1">IF($H24=リスト!$AA$4,"-",
   IF($C24="-","-",
     IF(DB$4&gt;$P24,"-",
       IF(DB$4=1,$E24,OFFSET(DB24,0,-2)-OFFSET(DB24,0,-1)
))))</f>
        <v>-</v>
      </c>
      <c r="DC24" s="57" t="str">
        <f>IF($H24=リスト!$AA$4,"-",
 IF($C24="-","-",
  IF(DB$4&gt;$P24,"-",
   CHOOSE(MATCH($H$3,リスト!$AE$3:$AE$5,0),
    ROUNDUP(
      DB24*IF(DB24*$I24&lt;=$L24,$J24,$I24)*
      IF($P24=1,
         $S24/12,
         IF(DB$4=1,
            $T24/12,
            IF(DB$4=$P24,
               $U24/12,
               1
      ))),0),
    ROUNDDOWN(
      DB24*IF(DB24*$I24&lt;=$L24,$J24,$I24)*
      IF($P24=1,
         $S24/12,
         IF(DB$4=1,
            $T24/12,
            IF(DB$4=$P24,
               $U24/12,
               1
      ))),0),
    ROUND(
      DB24*IF(DB24*$I24&lt;=$L24,$J24,$I24)*
      IF($P24=1,
         $S24/12,
         IF(DB$4=1,
            $T24/12,
            IF(DB$4=$P24,
               $U24/12,
               1
      ))),0)
))))</f>
        <v>-</v>
      </c>
      <c r="DD24" s="56" t="str">
        <f ca="1">IF($H24=リスト!$AA$4,"-",
   IF($C24="-","-",
     IF(DD$4&gt;$P24,"-",
       IF(DD$4=1,$E24,OFFSET(DD24,0,-2)-OFFSET(DD24,0,-1)
))))</f>
        <v>-</v>
      </c>
      <c r="DE24" s="57" t="str">
        <f>IF($H24=リスト!$AA$4,"-",
 IF($C24="-","-",
  IF(DD$4&gt;$P24,"-",
   CHOOSE(MATCH($H$3,リスト!$AE$3:$AE$5,0),
    ROUNDUP(
      DD24*IF(DD24*$I24&lt;=$L24,$J24,$I24)*
      IF($P24=1,
         $S24/12,
         IF(DD$4=1,
            $T24/12,
            IF(DD$4=$P24,
               $U24/12,
               1
      ))),0),
    ROUNDDOWN(
      DD24*IF(DD24*$I24&lt;=$L24,$J24,$I24)*
      IF($P24=1,
         $S24/12,
         IF(DD$4=1,
            $T24/12,
            IF(DD$4=$P24,
               $U24/12,
               1
      ))),0),
    ROUND(
      DD24*IF(DD24*$I24&lt;=$L24,$J24,$I24)*
      IF($P24=1,
         $S24/12,
         IF(DD$4=1,
            $T24/12,
            IF(DD$4=$P24,
               $U24/12,
               1
      ))),0)
))))</f>
        <v>-</v>
      </c>
      <c r="DF24" s="56" t="str">
        <f ca="1">IF($H24=リスト!$AA$4,"-",
   IF($C24="-","-",
     IF(DF$4&gt;$P24,"-",
       IF(DF$4=1,$E24,OFFSET(DF24,0,-2)-OFFSET(DF24,0,-1)
))))</f>
        <v>-</v>
      </c>
      <c r="DG24" s="57" t="str">
        <f>IF($H24=リスト!$AA$4,"-",
 IF($C24="-","-",
  IF(DF$4&gt;$P24,"-",
   CHOOSE(MATCH($H$3,リスト!$AE$3:$AE$5,0),
    ROUNDUP(
      DF24*IF(DF24*$I24&lt;=$L24,$J24,$I24)*
      IF($P24=1,
         $S24/12,
         IF(DF$4=1,
            $T24/12,
            IF(DF$4=$P24,
               $U24/12,
               1
      ))),0),
    ROUNDDOWN(
      DF24*IF(DF24*$I24&lt;=$L24,$J24,$I24)*
      IF($P24=1,
         $S24/12,
         IF(DF$4=1,
            $T24/12,
            IF(DF$4=$P24,
               $U24/12,
               1
      ))),0),
    ROUND(
      DF24*IF(DF24*$I24&lt;=$L24,$J24,$I24)*
      IF($P24=1,
         $S24/12,
         IF(DF$4=1,
            $T24/12,
            IF(DF$4=$P24,
               $U24/12,
               1
      ))),0)
))))</f>
        <v>-</v>
      </c>
      <c r="DH24" s="56" t="str">
        <f ca="1">IF($H24=リスト!$AA$4,"-",
   IF($C24="-","-",
     IF(DH$4&gt;$P24,"-",
       IF(DH$4=1,$E24,OFFSET(DH24,0,-2)-OFFSET(DH24,0,-1)
))))</f>
        <v>-</v>
      </c>
      <c r="DI24" s="57" t="str">
        <f>IF($H24=リスト!$AA$4,"-",
 IF($C24="-","-",
  IF(DH$4&gt;$P24,"-",
   CHOOSE(MATCH($H$3,リスト!$AE$3:$AE$5,0),
    ROUNDUP(
      DH24*IF(DH24*$I24&lt;=$L24,$J24,$I24)*
      IF($P24=1,
         $S24/12,
         IF(DH$4=1,
            $T24/12,
            IF(DH$4=$P24,
               $U24/12,
               1
      ))),0),
    ROUNDDOWN(
      DH24*IF(DH24*$I24&lt;=$L24,$J24,$I24)*
      IF($P24=1,
         $S24/12,
         IF(DH$4=1,
            $T24/12,
            IF(DH$4=$P24,
               $U24/12,
               1
      ))),0),
    ROUND(
      DH24*IF(DH24*$I24&lt;=$L24,$J24,$I24)*
      IF($P24=1,
         $S24/12,
         IF(DH$4=1,
            $T24/12,
            IF(DH$4=$P24,
               $U24/12,
               1
      ))),0)
))))</f>
        <v>-</v>
      </c>
      <c r="DJ24" s="56" t="str">
        <f ca="1">IF($H24=リスト!$AA$4,"-",
   IF($C24="-","-",
     IF(DJ$4&gt;$P24,"-",
       IF(DJ$4=1,$E24,OFFSET(DJ24,0,-2)-OFFSET(DJ24,0,-1)
))))</f>
        <v>-</v>
      </c>
      <c r="DK24" s="57" t="str">
        <f>IF($H24=リスト!$AA$4,"-",
 IF($C24="-","-",
  IF(DJ$4&gt;$P24,"-",
   CHOOSE(MATCH($H$3,リスト!$AE$3:$AE$5,0),
    ROUNDUP(
      DJ24*IF(DJ24*$I24&lt;=$L24,$J24,$I24)*
      IF($P24=1,
         $S24/12,
         IF(DJ$4=1,
            $T24/12,
            IF(DJ$4=$P24,
               $U24/12,
               1
      ))),0),
    ROUNDDOWN(
      DJ24*IF(DJ24*$I24&lt;=$L24,$J24,$I24)*
      IF($P24=1,
         $S24/12,
         IF(DJ$4=1,
            $T24/12,
            IF(DJ$4=$P24,
               $U24/12,
               1
      ))),0),
    ROUND(
      DJ24*IF(DJ24*$I24&lt;=$L24,$J24,$I24)*
      IF($P24=1,
         $S24/12,
         IF(DJ$4=1,
            $T24/12,
            IF(DJ$4=$P24,
               $U24/12,
               1
      ))),0)
))))</f>
        <v>-</v>
      </c>
      <c r="DL24" s="56" t="str">
        <f ca="1">IF($H24=リスト!$AA$4,"-",
   IF($C24="-","-",
     IF(DL$4&gt;$P24,"-",
       IF(DL$4=1,$E24,OFFSET(DL24,0,-2)-OFFSET(DL24,0,-1)
))))</f>
        <v>-</v>
      </c>
      <c r="DM24" s="57" t="str">
        <f>IF($H24=リスト!$AA$4,"-",
 IF($C24="-","-",
  IF(DL$4&gt;$P24,"-",
   CHOOSE(MATCH($H$3,リスト!$AE$3:$AE$5,0),
    ROUNDUP(
      DL24*IF(DL24*$I24&lt;=$L24,$J24,$I24)*
      IF($P24=1,
         $S24/12,
         IF(DL$4=1,
            $T24/12,
            IF(DL$4=$P24,
               $U24/12,
               1
      ))),0),
    ROUNDDOWN(
      DL24*IF(DL24*$I24&lt;=$L24,$J24,$I24)*
      IF($P24=1,
         $S24/12,
         IF(DL$4=1,
            $T24/12,
            IF(DL$4=$P24,
               $U24/12,
               1
      ))),0),
    ROUND(
      DL24*IF(DL24*$I24&lt;=$L24,$J24,$I24)*
      IF($P24=1,
         $S24/12,
         IF(DL$4=1,
            $T24/12,
            IF(DL$4=$P24,
               $U24/12,
               1
      ))),0)
))))</f>
        <v>-</v>
      </c>
      <c r="DN24" s="56" t="str">
        <f ca="1">IF($H24=リスト!$AA$4,"-",
   IF($C24="-","-",
     IF(DN$4&gt;$P24,"-",
       IF(DN$4=1,$E24,OFFSET(DN24,0,-2)-OFFSET(DN24,0,-1)
))))</f>
        <v>-</v>
      </c>
      <c r="DO24" s="57" t="str">
        <f>IF($H24=リスト!$AA$4,"-",
 IF($C24="-","-",
  IF(DN$4&gt;$P24,"-",
   CHOOSE(MATCH($H$3,リスト!$AE$3:$AE$5,0),
    ROUNDUP(
      DN24*IF(DN24*$I24&lt;=$L24,$J24,$I24)*
      IF($P24=1,
         $S24/12,
         IF(DN$4=1,
            $T24/12,
            IF(DN$4=$P24,
               $U24/12,
               1
      ))),0),
    ROUNDDOWN(
      DN24*IF(DN24*$I24&lt;=$L24,$J24,$I24)*
      IF($P24=1,
         $S24/12,
         IF(DN$4=1,
            $T24/12,
            IF(DN$4=$P24,
               $U24/12,
               1
      ))),0),
    ROUND(
      DN24*IF(DN24*$I24&lt;=$L24,$J24,$I24)*
      IF($P24=1,
         $S24/12,
         IF(DN$4=1,
            $T24/12,
            IF(DN$4=$P24,
               $U24/12,
               1
      ))),0)
))))</f>
        <v>-</v>
      </c>
      <c r="DP24" s="56" t="str">
        <f ca="1">IF($H24=リスト!$AA$4,"-",
   IF($C24="-","-",
     IF(DP$4&gt;$P24,"-",
       IF(DP$4=1,$E24,OFFSET(DP24,0,-2)-OFFSET(DP24,0,-1)
))))</f>
        <v>-</v>
      </c>
      <c r="DQ24" s="57" t="str">
        <f>IF($H24=リスト!$AA$4,"-",
 IF($C24="-","-",
  IF(DP$4&gt;$P24,"-",
   CHOOSE(MATCH($H$3,リスト!$AE$3:$AE$5,0),
    ROUNDUP(
      DP24*IF(DP24*$I24&lt;=$L24,$J24,$I24)*
      IF($P24=1,
         $S24/12,
         IF(DP$4=1,
            $T24/12,
            IF(DP$4=$P24,
               $U24/12,
               1
      ))),0),
    ROUNDDOWN(
      DP24*IF(DP24*$I24&lt;=$L24,$J24,$I24)*
      IF($P24=1,
         $S24/12,
         IF(DP$4=1,
            $T24/12,
            IF(DP$4=$P24,
               $U24/12,
               1
      ))),0),
    ROUND(
      DP24*IF(DP24*$I24&lt;=$L24,$J24,$I24)*
      IF($P24=1,
         $S24/12,
         IF(DP$4=1,
            $T24/12,
            IF(DP$4=$P24,
               $U24/12,
               1
      ))),0)
))))</f>
        <v>-</v>
      </c>
      <c r="DR24" s="56" t="str">
        <f ca="1">IF($H24=リスト!$AA$4,"-",
   IF($C24="-","-",
     IF(DR$4&gt;$P24,"-",
       IF(DR$4=1,$E24,OFFSET(DR24,0,-2)-OFFSET(DR24,0,-1)
))))</f>
        <v>-</v>
      </c>
      <c r="DS24" s="57" t="str">
        <f>IF($H24=リスト!$AA$4,"-",
 IF($C24="-","-",
  IF(DR$4&gt;$P24,"-",
   CHOOSE(MATCH($H$3,リスト!$AE$3:$AE$5,0),
    ROUNDUP(
      DR24*IF(DR24*$I24&lt;=$L24,$J24,$I24)*
      IF($P24=1,
         $S24/12,
         IF(DR$4=1,
            $T24/12,
            IF(DR$4=$P24,
               $U24/12,
               1
      ))),0),
    ROUNDDOWN(
      DR24*IF(DR24*$I24&lt;=$L24,$J24,$I24)*
      IF($P24=1,
         $S24/12,
         IF(DR$4=1,
            $T24/12,
            IF(DR$4=$P24,
               $U24/12,
               1
      ))),0),
    ROUND(
      DR24*IF(DR24*$I24&lt;=$L24,$J24,$I24)*
      IF($P24=1,
         $S24/12,
         IF(DR$4=1,
            $T24/12,
            IF(DR$4=$P24,
               $U24/12,
               1
      ))),0)
))))</f>
        <v>-</v>
      </c>
      <c r="DT24" s="56" t="str" cm="1">
        <f t="array" ref="DT24">IF($H24&lt;&gt;リスト!$AA$3,"-",$E24-SUMPRODUCT(IFERROR($Y24:$DS24*1,0), --(MOD(COLUMN($Y24:$DS24)-COLUMN($Y24),2)=0)))</f>
        <v>-</v>
      </c>
      <c r="DU24" s="56" t="str">
        <f>IF($H24&lt;&gt;リスト!$AA$4,"-",
    IF($H$3=リスト!$AE$3,$E24-ROUNDUP($E24*I24*$W24/12,0),
    IF($H$3=リスト!$AE$4,$E24-ROUNDDOWN($E24*I24*$W24/12,0),
    IF($H$3=リスト!$AE$5,$E24-ROUND($E24*I24*$W24/12,0),
    "-"))))</f>
        <v>-</v>
      </c>
    </row>
    <row r="25" spans="2:125">
      <c r="B25" s="54">
        <v>20</v>
      </c>
      <c r="C25" s="55" t="str">
        <f>IF(財産処分報告用!$C25="","-",財産処分報告用!$C25)</f>
        <v>-</v>
      </c>
      <c r="D25" s="55" t="str">
        <f>財産処分報告用!$E25</f>
        <v>-</v>
      </c>
      <c r="E25" s="56" t="str">
        <f>IF(財産処分報告用!$J25="","-",財産処分報告用!$J25)</f>
        <v>-</v>
      </c>
      <c r="F25" s="101" t="str">
        <f>IF(財産処分報告用!$K25="","-",財産処分報告用!$K25)</f>
        <v>-</v>
      </c>
      <c r="G25" s="101" t="str">
        <f>IF(財産処分報告用!$L25="","-",財産処分報告用!$L25)</f>
        <v>-</v>
      </c>
      <c r="H25" s="55" t="str">
        <f>IF(財産処分報告用!$M25="","-",財産処分報告用!$M25)</f>
        <v>-</v>
      </c>
      <c r="I25" s="55" t="str">
        <f>IF(OR($D25="-",$H25="-"),"-",INDEX(リスト!$AG$2:$AI$101,MATCH($D25,リスト!$AG$2:$AG$101,0),MATCH($H25,リスト!$AG$2:$AI$2,0)))</f>
        <v>-</v>
      </c>
      <c r="J25" s="55" t="str">
        <f>IF(OR($D25="-",$H25="-"),"-",IF($H25=リスト!$AA$4,"-",INDEX(リスト!$AG$2:$AK$101,MATCH($D25,リスト!$AG$2:$AG$101,0),4)))</f>
        <v>-</v>
      </c>
      <c r="K25" s="55" t="str">
        <f>IF(OR($D25="-",$H25="-"),"-",IF($H25=リスト!$AA$4,"-",INDEX(リスト!$AG$2:$AK$101,MATCH($D25,リスト!$AG$2:$AG$101,0),5)))</f>
        <v>-</v>
      </c>
      <c r="L25" s="55" t="str">
        <f t="shared" si="0"/>
        <v>-</v>
      </c>
      <c r="M25" s="101" t="str">
        <f t="shared" si="1"/>
        <v>-</v>
      </c>
      <c r="N25" s="101" t="str">
        <f t="shared" si="2"/>
        <v>-</v>
      </c>
      <c r="O25" s="101" t="str">
        <f t="shared" si="3"/>
        <v>-</v>
      </c>
      <c r="P25" s="102" t="str">
        <f t="shared" si="4"/>
        <v>-</v>
      </c>
      <c r="Q25" s="115" t="str">
        <f t="shared" si="5"/>
        <v>-</v>
      </c>
      <c r="R25" s="116" t="str">
        <f t="shared" si="6"/>
        <v>-</v>
      </c>
      <c r="S25" s="102" t="str">
        <f t="shared" si="7"/>
        <v>-</v>
      </c>
      <c r="T25" s="102" t="str">
        <f t="shared" si="8"/>
        <v>-</v>
      </c>
      <c r="U25" s="102" t="str">
        <f t="shared" si="9"/>
        <v>-</v>
      </c>
      <c r="V25" s="102" t="str">
        <f t="shared" si="10"/>
        <v>-</v>
      </c>
      <c r="W25" s="55" t="str">
        <f t="shared" si="11"/>
        <v>-</v>
      </c>
      <c r="X25" s="56" t="str">
        <f ca="1">IF($H25=リスト!$AA$4,"-",
   IF($C25="-","-",
     IF(X$4&gt;$P25,"-",
       IF(X$4=1,$E25,OFFSET(X25,0,-2)-OFFSET(X25,0,-1)
))))</f>
        <v>-</v>
      </c>
      <c r="Y25" s="57" t="str">
        <f>IF($H25=リスト!$AA$4,"-",
 IF($C25="-","-",
  IF(X$4&gt;$P25,"-",
   CHOOSE(MATCH($H$3,リスト!$AE$3:$AE$5,0),
    ROUNDUP(
      X25*IF(X25*$I25&lt;=$L25,$J25,$I25)*
      IF($P25=1,
         $S25/12,
         IF(X$4=1,
            $T25/12,
            IF(X$4=$P25,
               $U25/12,
               1
      ))),0),
    ROUNDDOWN(
      X25*IF(X25*$I25&lt;=$L25,$J25,$I25)*
      IF($P25=1,
         $S25/12,
         IF(X$4=1,
            $T25/12,
            IF(X$4=$P25,
               $U25/12,
               1
      ))),0),
    ROUND(
      X25*IF(X25*$I25&lt;=$L25,$J25,$I25)*
      IF($P25=1,
         $S25/12,
         IF(X$4=1,
            $T25/12,
            IF(X$4=$P25,
               $U25/12,
               1
      ))),0)
))))</f>
        <v>-</v>
      </c>
      <c r="Z25" s="56" t="str">
        <f ca="1">IF($H25=リスト!$AA$4,"-",
   IF($C25="-","-",
     IF(Z$4&gt;$P25,"-",
       IF(Z$4=1,$E25,OFFSET(Z25,0,-2)-OFFSET(Z25,0,-1)
))))</f>
        <v>-</v>
      </c>
      <c r="AA25" s="57" t="str">
        <f>IF($H25=リスト!$AA$4,"-",
 IF($C25="-","-",
  IF(Z$4&gt;$P25,"-",
   CHOOSE(MATCH($H$3,リスト!$AE$3:$AE$5,0),
    ROUNDUP(
      Z25*IF(Z25*$I25&lt;=$L25,$J25,$I25)*
      IF($P25=1,
         $S25/12,
         IF(Z$4=1,
            $T25/12,
            IF(Z$4=$P25,
               $U25/12,
               1
      ))),0),
    ROUNDDOWN(
      Z25*IF(Z25*$I25&lt;=$L25,$J25,$I25)*
      IF($P25=1,
         $S25/12,
         IF(Z$4=1,
            $T25/12,
            IF(Z$4=$P25,
               $U25/12,
               1
      ))),0),
    ROUND(
      Z25*IF(Z25*$I25&lt;=$L25,$J25,$I25)*
      IF($P25=1,
         $S25/12,
         IF(Z$4=1,
            $T25/12,
            IF(Z$4=$P25,
               $U25/12,
               1
      ))),0)
))))</f>
        <v>-</v>
      </c>
      <c r="AB25" s="56" t="str">
        <f ca="1">IF($H25=リスト!$AA$4,"-",
   IF($C25="-","-",
     IF(AB$4&gt;$P25,"-",
       IF(AB$4=1,$E25,OFFSET(AB25,0,-2)-OFFSET(AB25,0,-1)
))))</f>
        <v>-</v>
      </c>
      <c r="AC25" s="57" t="str">
        <f>IF($H25=リスト!$AA$4,"-",
 IF($C25="-","-",
  IF(AB$4&gt;$P25,"-",
   CHOOSE(MATCH($H$3,リスト!$AE$3:$AE$5,0),
    ROUNDUP(
      AB25*IF(AB25*$I25&lt;=$L25,$J25,$I25)*
      IF($P25=1,
         $S25/12,
         IF(AB$4=1,
            $T25/12,
            IF(AB$4=$P25,
               $U25/12,
               1
      ))),0),
    ROUNDDOWN(
      AB25*IF(AB25*$I25&lt;=$L25,$J25,$I25)*
      IF($P25=1,
         $S25/12,
         IF(AB$4=1,
            $T25/12,
            IF(AB$4=$P25,
               $U25/12,
               1
      ))),0),
    ROUND(
      AB25*IF(AB25*$I25&lt;=$L25,$J25,$I25)*
      IF($P25=1,
         $S25/12,
         IF(AB$4=1,
            $T25/12,
            IF(AB$4=$P25,
               $U25/12,
               1
      ))),0)
))))</f>
        <v>-</v>
      </c>
      <c r="AD25" s="56" t="str">
        <f ca="1">IF($H25=リスト!$AA$4,"-",
   IF($C25="-","-",
     IF(AD$4&gt;$P25,"-",
       IF(AD$4=1,$E25,OFFSET(AD25,0,-2)-OFFSET(AD25,0,-1)
))))</f>
        <v>-</v>
      </c>
      <c r="AE25" s="57" t="str">
        <f>IF($H25=リスト!$AA$4,"-",
 IF($C25="-","-",
  IF(AD$4&gt;$P25,"-",
   CHOOSE(MATCH($H$3,リスト!$AE$3:$AE$5,0),
    ROUNDUP(
      AD25*IF(AD25*$I25&lt;=$L25,$J25,$I25)*
      IF($P25=1,
         $S25/12,
         IF(AD$4=1,
            $T25/12,
            IF(AD$4=$P25,
               $U25/12,
               1
      ))),0),
    ROUNDDOWN(
      AD25*IF(AD25*$I25&lt;=$L25,$J25,$I25)*
      IF($P25=1,
         $S25/12,
         IF(AD$4=1,
            $T25/12,
            IF(AD$4=$P25,
               $U25/12,
               1
      ))),0),
    ROUND(
      AD25*IF(AD25*$I25&lt;=$L25,$J25,$I25)*
      IF($P25=1,
         $S25/12,
         IF(AD$4=1,
            $T25/12,
            IF(AD$4=$P25,
               $U25/12,
               1
      ))),0)
))))</f>
        <v>-</v>
      </c>
      <c r="AF25" s="56" t="str">
        <f ca="1">IF($H25=リスト!$AA$4,"-",
   IF($C25="-","-",
     IF(AF$4&gt;$P25,"-",
       IF(AF$4=1,$E25,OFFSET(AF25,0,-2)-OFFSET(AF25,0,-1)
))))</f>
        <v>-</v>
      </c>
      <c r="AG25" s="57" t="str">
        <f>IF($H25=リスト!$AA$4,"-",
 IF($C25="-","-",
  IF(AF$4&gt;$P25,"-",
   CHOOSE(MATCH($H$3,リスト!$AE$3:$AE$5,0),
    ROUNDUP(
      AF25*IF(AF25*$I25&lt;=$L25,$J25,$I25)*
      IF($P25=1,
         $S25/12,
         IF(AF$4=1,
            $T25/12,
            IF(AF$4=$P25,
               $U25/12,
               1
      ))),0),
    ROUNDDOWN(
      AF25*IF(AF25*$I25&lt;=$L25,$J25,$I25)*
      IF($P25=1,
         $S25/12,
         IF(AF$4=1,
            $T25/12,
            IF(AF$4=$P25,
               $U25/12,
               1
      ))),0),
    ROUND(
      AF25*IF(AF25*$I25&lt;=$L25,$J25,$I25)*
      IF($P25=1,
         $S25/12,
         IF(AF$4=1,
            $T25/12,
            IF(AF$4=$P25,
               $U25/12,
               1
      ))),0)
))))</f>
        <v>-</v>
      </c>
      <c r="AH25" s="56" t="str">
        <f ca="1">IF($H25=リスト!$AA$4,"-",
   IF($C25="-","-",
     IF(AH$4&gt;$P25,"-",
       IF(AH$4=1,$E25,OFFSET(AH25,0,-2)-OFFSET(AH25,0,-1)
))))</f>
        <v>-</v>
      </c>
      <c r="AI25" s="57" t="str">
        <f>IF($H25=リスト!$AA$4,"-",
 IF($C25="-","-",
  IF(AH$4&gt;$P25,"-",
   CHOOSE(MATCH($H$3,リスト!$AE$3:$AE$5,0),
    ROUNDUP(
      AH25*IF(AH25*$I25&lt;=$L25,$J25,$I25)*
      IF($P25=1,
         $S25/12,
         IF(AH$4=1,
            $T25/12,
            IF(AH$4=$P25,
               $U25/12,
               1
      ))),0),
    ROUNDDOWN(
      AH25*IF(AH25*$I25&lt;=$L25,$J25,$I25)*
      IF($P25=1,
         $S25/12,
         IF(AH$4=1,
            $T25/12,
            IF(AH$4=$P25,
               $U25/12,
               1
      ))),0),
    ROUND(
      AH25*IF(AH25*$I25&lt;=$L25,$J25,$I25)*
      IF($P25=1,
         $S25/12,
         IF(AH$4=1,
            $T25/12,
            IF(AH$4=$P25,
               $U25/12,
               1
      ))),0)
))))</f>
        <v>-</v>
      </c>
      <c r="AJ25" s="56" t="str">
        <f ca="1">IF($H25=リスト!$AA$4,"-",
   IF($C25="-","-",
     IF(AJ$4&gt;$P25,"-",
       IF(AJ$4=1,$E25,OFFSET(AJ25,0,-2)-OFFSET(AJ25,0,-1)
))))</f>
        <v>-</v>
      </c>
      <c r="AK25" s="57" t="str">
        <f>IF($H25=リスト!$AA$4,"-",
 IF($C25="-","-",
  IF(AJ$4&gt;$P25,"-",
   CHOOSE(MATCH($H$3,リスト!$AE$3:$AE$5,0),
    ROUNDUP(
      AJ25*IF(AJ25*$I25&lt;=$L25,$J25,$I25)*
      IF($P25=1,
         $S25/12,
         IF(AJ$4=1,
            $T25/12,
            IF(AJ$4=$P25,
               $U25/12,
               1
      ))),0),
    ROUNDDOWN(
      AJ25*IF(AJ25*$I25&lt;=$L25,$J25,$I25)*
      IF($P25=1,
         $S25/12,
         IF(AJ$4=1,
            $T25/12,
            IF(AJ$4=$P25,
               $U25/12,
               1
      ))),0),
    ROUND(
      AJ25*IF(AJ25*$I25&lt;=$L25,$J25,$I25)*
      IF($P25=1,
         $S25/12,
         IF(AJ$4=1,
            $T25/12,
            IF(AJ$4=$P25,
               $U25/12,
               1
      ))),0)
))))</f>
        <v>-</v>
      </c>
      <c r="AL25" s="56" t="str">
        <f ca="1">IF($H25=リスト!$AA$4,"-",
   IF($C25="-","-",
     IF(AL$4&gt;$P25,"-",
       IF(AL$4=1,$E25,OFFSET(AL25,0,-2)-OFFSET(AL25,0,-1)
))))</f>
        <v>-</v>
      </c>
      <c r="AM25" s="57" t="str">
        <f>IF($H25=リスト!$AA$4,"-",
 IF($C25="-","-",
  IF(AL$4&gt;$P25,"-",
   CHOOSE(MATCH($H$3,リスト!$AE$3:$AE$5,0),
    ROUNDUP(
      AL25*IF(AL25*$I25&lt;=$L25,$J25,$I25)*
      IF($P25=1,
         $S25/12,
         IF(AL$4=1,
            $T25/12,
            IF(AL$4=$P25,
               $U25/12,
               1
      ))),0),
    ROUNDDOWN(
      AL25*IF(AL25*$I25&lt;=$L25,$J25,$I25)*
      IF($P25=1,
         $S25/12,
         IF(AL$4=1,
            $T25/12,
            IF(AL$4=$P25,
               $U25/12,
               1
      ))),0),
    ROUND(
      AL25*IF(AL25*$I25&lt;=$L25,$J25,$I25)*
      IF($P25=1,
         $S25/12,
         IF(AL$4=1,
            $T25/12,
            IF(AL$4=$P25,
               $U25/12,
               1
      ))),0)
))))</f>
        <v>-</v>
      </c>
      <c r="AN25" s="56" t="str">
        <f ca="1">IF($H25=リスト!$AA$4,"-",
   IF($C25="-","-",
     IF(AN$4&gt;$P25,"-",
       IF(AN$4=1,$E25,OFFSET(AN25,0,-2)-OFFSET(AN25,0,-1)
))))</f>
        <v>-</v>
      </c>
      <c r="AO25" s="57" t="str">
        <f>IF($H25=リスト!$AA$4,"-",
 IF($C25="-","-",
  IF(AN$4&gt;$P25,"-",
   CHOOSE(MATCH($H$3,リスト!$AE$3:$AE$5,0),
    ROUNDUP(
      AN25*IF(AN25*$I25&lt;=$L25,$J25,$I25)*
      IF($P25=1,
         $S25/12,
         IF(AN$4=1,
            $T25/12,
            IF(AN$4=$P25,
               $U25/12,
               1
      ))),0),
    ROUNDDOWN(
      AN25*IF(AN25*$I25&lt;=$L25,$J25,$I25)*
      IF($P25=1,
         $S25/12,
         IF(AN$4=1,
            $T25/12,
            IF(AN$4=$P25,
               $U25/12,
               1
      ))),0),
    ROUND(
      AN25*IF(AN25*$I25&lt;=$L25,$J25,$I25)*
      IF($P25=1,
         $S25/12,
         IF(AN$4=1,
            $T25/12,
            IF(AN$4=$P25,
               $U25/12,
               1
      ))),0)
))))</f>
        <v>-</v>
      </c>
      <c r="AP25" s="56" t="str">
        <f ca="1">IF($H25=リスト!$AA$4,"-",
   IF($C25="-","-",
     IF(AP$4&gt;$P25,"-",
       IF(AP$4=1,$E25,OFFSET(AP25,0,-2)-OFFSET(AP25,0,-1)
))))</f>
        <v>-</v>
      </c>
      <c r="AQ25" s="57" t="str">
        <f>IF($H25=リスト!$AA$4,"-",
 IF($C25="-","-",
  IF(AP$4&gt;$P25,"-",
   CHOOSE(MATCH($H$3,リスト!$AE$3:$AE$5,0),
    ROUNDUP(
      AP25*IF(AP25*$I25&lt;=$L25,$J25,$I25)*
      IF($P25=1,
         $S25/12,
         IF(AP$4=1,
            $T25/12,
            IF(AP$4=$P25,
               $U25/12,
               1
      ))),0),
    ROUNDDOWN(
      AP25*IF(AP25*$I25&lt;=$L25,$J25,$I25)*
      IF($P25=1,
         $S25/12,
         IF(AP$4=1,
            $T25/12,
            IF(AP$4=$P25,
               $U25/12,
               1
      ))),0),
    ROUND(
      AP25*IF(AP25*$I25&lt;=$L25,$J25,$I25)*
      IF($P25=1,
         $S25/12,
         IF(AP$4=1,
            $T25/12,
            IF(AP$4=$P25,
               $U25/12,
               1
      ))),0)
))))</f>
        <v>-</v>
      </c>
      <c r="AR25" s="56" t="str">
        <f ca="1">IF($H25=リスト!$AA$4,"-",
   IF($C25="-","-",
     IF(AR$4&gt;$P25,"-",
       IF(AR$4=1,$E25,OFFSET(AR25,0,-2)-OFFSET(AR25,0,-1)
))))</f>
        <v>-</v>
      </c>
      <c r="AS25" s="57" t="str">
        <f>IF($H25=リスト!$AA$4,"-",
 IF($C25="-","-",
  IF(AR$4&gt;$P25,"-",
   CHOOSE(MATCH($H$3,リスト!$AE$3:$AE$5,0),
    ROUNDUP(
      AR25*IF(AR25*$I25&lt;=$L25,$J25,$I25)*
      IF($P25=1,
         $S25/12,
         IF(AR$4=1,
            $T25/12,
            IF(AR$4=$P25,
               $U25/12,
               1
      ))),0),
    ROUNDDOWN(
      AR25*IF(AR25*$I25&lt;=$L25,$J25,$I25)*
      IF($P25=1,
         $S25/12,
         IF(AR$4=1,
            $T25/12,
            IF(AR$4=$P25,
               $U25/12,
               1
      ))),0),
    ROUND(
      AR25*IF(AR25*$I25&lt;=$L25,$J25,$I25)*
      IF($P25=1,
         $S25/12,
         IF(AR$4=1,
            $T25/12,
            IF(AR$4=$P25,
               $U25/12,
               1
      ))),0)
))))</f>
        <v>-</v>
      </c>
      <c r="AT25" s="56" t="str">
        <f ca="1">IF($H25=リスト!$AA$4,"-",
   IF($C25="-","-",
     IF(AT$4&gt;$P25,"-",
       IF(AT$4=1,$E25,OFFSET(AT25,0,-2)-OFFSET(AT25,0,-1)
))))</f>
        <v>-</v>
      </c>
      <c r="AU25" s="57" t="str">
        <f>IF($H25=リスト!$AA$4,"-",
 IF($C25="-","-",
  IF(AT$4&gt;$P25,"-",
   CHOOSE(MATCH($H$3,リスト!$AE$3:$AE$5,0),
    ROUNDUP(
      AT25*IF(AT25*$I25&lt;=$L25,$J25,$I25)*
      IF($P25=1,
         $S25/12,
         IF(AT$4=1,
            $T25/12,
            IF(AT$4=$P25,
               $U25/12,
               1
      ))),0),
    ROUNDDOWN(
      AT25*IF(AT25*$I25&lt;=$L25,$J25,$I25)*
      IF($P25=1,
         $S25/12,
         IF(AT$4=1,
            $T25/12,
            IF(AT$4=$P25,
               $U25/12,
               1
      ))),0),
    ROUND(
      AT25*IF(AT25*$I25&lt;=$L25,$J25,$I25)*
      IF($P25=1,
         $S25/12,
         IF(AT$4=1,
            $T25/12,
            IF(AT$4=$P25,
               $U25/12,
               1
      ))),0)
))))</f>
        <v>-</v>
      </c>
      <c r="AV25" s="56" t="str">
        <f ca="1">IF($H25=リスト!$AA$4,"-",
   IF($C25="-","-",
     IF(AV$4&gt;$P25,"-",
       IF(AV$4=1,$E25,OFFSET(AV25,0,-2)-OFFSET(AV25,0,-1)
))))</f>
        <v>-</v>
      </c>
      <c r="AW25" s="57" t="str">
        <f>IF($H25=リスト!$AA$4,"-",
 IF($C25="-","-",
  IF(AV$4&gt;$P25,"-",
   CHOOSE(MATCH($H$3,リスト!$AE$3:$AE$5,0),
    ROUNDUP(
      AV25*IF(AV25*$I25&lt;=$L25,$J25,$I25)*
      IF($P25=1,
         $S25/12,
         IF(AV$4=1,
            $T25/12,
            IF(AV$4=$P25,
               $U25/12,
               1
      ))),0),
    ROUNDDOWN(
      AV25*IF(AV25*$I25&lt;=$L25,$J25,$I25)*
      IF($P25=1,
         $S25/12,
         IF(AV$4=1,
            $T25/12,
            IF(AV$4=$P25,
               $U25/12,
               1
      ))),0),
    ROUND(
      AV25*IF(AV25*$I25&lt;=$L25,$J25,$I25)*
      IF($P25=1,
         $S25/12,
         IF(AV$4=1,
            $T25/12,
            IF(AV$4=$P25,
               $U25/12,
               1
      ))),0)
))))</f>
        <v>-</v>
      </c>
      <c r="AX25" s="56" t="str">
        <f ca="1">IF($H25=リスト!$AA$4,"-",
   IF($C25="-","-",
     IF(AX$4&gt;$P25,"-",
       IF(AX$4=1,$E25,OFFSET(AX25,0,-2)-OFFSET(AX25,0,-1)
))))</f>
        <v>-</v>
      </c>
      <c r="AY25" s="57" t="str">
        <f>IF($H25=リスト!$AA$4,"-",
 IF($C25="-","-",
  IF(AX$4&gt;$P25,"-",
   CHOOSE(MATCH($H$3,リスト!$AE$3:$AE$5,0),
    ROUNDUP(
      AX25*IF(AX25*$I25&lt;=$L25,$J25,$I25)*
      IF($P25=1,
         $S25/12,
         IF(AX$4=1,
            $T25/12,
            IF(AX$4=$P25,
               $U25/12,
               1
      ))),0),
    ROUNDDOWN(
      AX25*IF(AX25*$I25&lt;=$L25,$J25,$I25)*
      IF($P25=1,
         $S25/12,
         IF(AX$4=1,
            $T25/12,
            IF(AX$4=$P25,
               $U25/12,
               1
      ))),0),
    ROUND(
      AX25*IF(AX25*$I25&lt;=$L25,$J25,$I25)*
      IF($P25=1,
         $S25/12,
         IF(AX$4=1,
            $T25/12,
            IF(AX$4=$P25,
               $U25/12,
               1
      ))),0)
))))</f>
        <v>-</v>
      </c>
      <c r="AZ25" s="56" t="str">
        <f ca="1">IF($H25=リスト!$AA$4,"-",
   IF($C25="-","-",
     IF(AZ$4&gt;$P25,"-",
       IF(AZ$4=1,$E25,OFFSET(AZ25,0,-2)-OFFSET(AZ25,0,-1)
))))</f>
        <v>-</v>
      </c>
      <c r="BA25" s="57" t="str">
        <f>IF($H25=リスト!$AA$4,"-",
 IF($C25="-","-",
  IF(AZ$4&gt;$P25,"-",
   CHOOSE(MATCH($H$3,リスト!$AE$3:$AE$5,0),
    ROUNDUP(
      AZ25*IF(AZ25*$I25&lt;=$L25,$J25,$I25)*
      IF($P25=1,
         $S25/12,
         IF(AZ$4=1,
            $T25/12,
            IF(AZ$4=$P25,
               $U25/12,
               1
      ))),0),
    ROUNDDOWN(
      AZ25*IF(AZ25*$I25&lt;=$L25,$J25,$I25)*
      IF($P25=1,
         $S25/12,
         IF(AZ$4=1,
            $T25/12,
            IF(AZ$4=$P25,
               $U25/12,
               1
      ))),0),
    ROUND(
      AZ25*IF(AZ25*$I25&lt;=$L25,$J25,$I25)*
      IF($P25=1,
         $S25/12,
         IF(AZ$4=1,
            $T25/12,
            IF(AZ$4=$P25,
               $U25/12,
               1
      ))),0)
))))</f>
        <v>-</v>
      </c>
      <c r="BB25" s="56" t="str">
        <f ca="1">IF($H25=リスト!$AA$4,"-",
   IF($C25="-","-",
     IF(BB$4&gt;$P25,"-",
       IF(BB$4=1,$E25,OFFSET(BB25,0,-2)-OFFSET(BB25,0,-1)
))))</f>
        <v>-</v>
      </c>
      <c r="BC25" s="57" t="str">
        <f>IF($H25=リスト!$AA$4,"-",
 IF($C25="-","-",
  IF(BB$4&gt;$P25,"-",
   CHOOSE(MATCH($H$3,リスト!$AE$3:$AE$5,0),
    ROUNDUP(
      BB25*IF(BB25*$I25&lt;=$L25,$J25,$I25)*
      IF($P25=1,
         $S25/12,
         IF(BB$4=1,
            $T25/12,
            IF(BB$4=$P25,
               $U25/12,
               1
      ))),0),
    ROUNDDOWN(
      BB25*IF(BB25*$I25&lt;=$L25,$J25,$I25)*
      IF($P25=1,
         $S25/12,
         IF(BB$4=1,
            $T25/12,
            IF(BB$4=$P25,
               $U25/12,
               1
      ))),0),
    ROUND(
      BB25*IF(BB25*$I25&lt;=$L25,$J25,$I25)*
      IF($P25=1,
         $S25/12,
         IF(BB$4=1,
            $T25/12,
            IF(BB$4=$P25,
               $U25/12,
               1
      ))),0)
))))</f>
        <v>-</v>
      </c>
      <c r="BD25" s="56" t="str">
        <f ca="1">IF($H25=リスト!$AA$4,"-",
   IF($C25="-","-",
     IF(BD$4&gt;$P25,"-",
       IF(BD$4=1,$E25,OFFSET(BD25,0,-2)-OFFSET(BD25,0,-1)
))))</f>
        <v>-</v>
      </c>
      <c r="BE25" s="57" t="str">
        <f>IF($H25=リスト!$AA$4,"-",
 IF($C25="-","-",
  IF(BD$4&gt;$P25,"-",
   CHOOSE(MATCH($H$3,リスト!$AE$3:$AE$5,0),
    ROUNDUP(
      BD25*IF(BD25*$I25&lt;=$L25,$J25,$I25)*
      IF($P25=1,
         $S25/12,
         IF(BD$4=1,
            $T25/12,
            IF(BD$4=$P25,
               $U25/12,
               1
      ))),0),
    ROUNDDOWN(
      BD25*IF(BD25*$I25&lt;=$L25,$J25,$I25)*
      IF($P25=1,
         $S25/12,
         IF(BD$4=1,
            $T25/12,
            IF(BD$4=$P25,
               $U25/12,
               1
      ))),0),
    ROUND(
      BD25*IF(BD25*$I25&lt;=$L25,$J25,$I25)*
      IF($P25=1,
         $S25/12,
         IF(BD$4=1,
            $T25/12,
            IF(BD$4=$P25,
               $U25/12,
               1
      ))),0)
))))</f>
        <v>-</v>
      </c>
      <c r="BF25" s="56" t="str">
        <f ca="1">IF($H25=リスト!$AA$4,"-",
   IF($C25="-","-",
     IF(BF$4&gt;$P25,"-",
       IF(BF$4=1,$E25,OFFSET(BF25,0,-2)-OFFSET(BF25,0,-1)
))))</f>
        <v>-</v>
      </c>
      <c r="BG25" s="57" t="str">
        <f>IF($H25=リスト!$AA$4,"-",
 IF($C25="-","-",
  IF(BF$4&gt;$P25,"-",
   CHOOSE(MATCH($H$3,リスト!$AE$3:$AE$5,0),
    ROUNDUP(
      BF25*IF(BF25*$I25&lt;=$L25,$J25,$I25)*
      IF($P25=1,
         $S25/12,
         IF(BF$4=1,
            $T25/12,
            IF(BF$4=$P25,
               $U25/12,
               1
      ))),0),
    ROUNDDOWN(
      BF25*IF(BF25*$I25&lt;=$L25,$J25,$I25)*
      IF($P25=1,
         $S25/12,
         IF(BF$4=1,
            $T25/12,
            IF(BF$4=$P25,
               $U25/12,
               1
      ))),0),
    ROUND(
      BF25*IF(BF25*$I25&lt;=$L25,$J25,$I25)*
      IF($P25=1,
         $S25/12,
         IF(BF$4=1,
            $T25/12,
            IF(BF$4=$P25,
               $U25/12,
               1
      ))),0)
))))</f>
        <v>-</v>
      </c>
      <c r="BH25" s="56" t="str">
        <f ca="1">IF($H25=リスト!$AA$4,"-",
   IF($C25="-","-",
     IF(BH$4&gt;$P25,"-",
       IF(BH$4=1,$E25,OFFSET(BH25,0,-2)-OFFSET(BH25,0,-1)
))))</f>
        <v>-</v>
      </c>
      <c r="BI25" s="57" t="str">
        <f>IF($H25=リスト!$AA$4,"-",
 IF($C25="-","-",
  IF(BH$4&gt;$P25,"-",
   CHOOSE(MATCH($H$3,リスト!$AE$3:$AE$5,0),
    ROUNDUP(
      BH25*IF(BH25*$I25&lt;=$L25,$J25,$I25)*
      IF($P25=1,
         $S25/12,
         IF(BH$4=1,
            $T25/12,
            IF(BH$4=$P25,
               $U25/12,
               1
      ))),0),
    ROUNDDOWN(
      BH25*IF(BH25*$I25&lt;=$L25,$J25,$I25)*
      IF($P25=1,
         $S25/12,
         IF(BH$4=1,
            $T25/12,
            IF(BH$4=$P25,
               $U25/12,
               1
      ))),0),
    ROUND(
      BH25*IF(BH25*$I25&lt;=$L25,$J25,$I25)*
      IF($P25=1,
         $S25/12,
         IF(BH$4=1,
            $T25/12,
            IF(BH$4=$P25,
               $U25/12,
               1
      ))),0)
))))</f>
        <v>-</v>
      </c>
      <c r="BJ25" s="56" t="str">
        <f ca="1">IF($H25=リスト!$AA$4,"-",
   IF($C25="-","-",
     IF(BJ$4&gt;$P25,"-",
       IF(BJ$4=1,$E25,OFFSET(BJ25,0,-2)-OFFSET(BJ25,0,-1)
))))</f>
        <v>-</v>
      </c>
      <c r="BK25" s="57" t="str">
        <f>IF($H25=リスト!$AA$4,"-",
 IF($C25="-","-",
  IF(BJ$4&gt;$P25,"-",
   CHOOSE(MATCH($H$3,リスト!$AE$3:$AE$5,0),
    ROUNDUP(
      BJ25*IF(BJ25*$I25&lt;=$L25,$J25,$I25)*
      IF($P25=1,
         $S25/12,
         IF(BJ$4=1,
            $T25/12,
            IF(BJ$4=$P25,
               $U25/12,
               1
      ))),0),
    ROUNDDOWN(
      BJ25*IF(BJ25*$I25&lt;=$L25,$J25,$I25)*
      IF($P25=1,
         $S25/12,
         IF(BJ$4=1,
            $T25/12,
            IF(BJ$4=$P25,
               $U25/12,
               1
      ))),0),
    ROUND(
      BJ25*IF(BJ25*$I25&lt;=$L25,$J25,$I25)*
      IF($P25=1,
         $S25/12,
         IF(BJ$4=1,
            $T25/12,
            IF(BJ$4=$P25,
               $U25/12,
               1
      ))),0)
))))</f>
        <v>-</v>
      </c>
      <c r="BL25" s="56" t="str">
        <f ca="1">IF($H25=リスト!$AA$4,"-",
   IF($C25="-","-",
     IF(BL$4&gt;$P25,"-",
       IF(BL$4=1,$E25,OFFSET(BL25,0,-2)-OFFSET(BL25,0,-1)
))))</f>
        <v>-</v>
      </c>
      <c r="BM25" s="57" t="str">
        <f>IF($H25=リスト!$AA$4,"-",
 IF($C25="-","-",
  IF(BL$4&gt;$P25,"-",
   CHOOSE(MATCH($H$3,リスト!$AE$3:$AE$5,0),
    ROUNDUP(
      BL25*IF(BL25*$I25&lt;=$L25,$J25,$I25)*
      IF($P25=1,
         $S25/12,
         IF(BL$4=1,
            $T25/12,
            IF(BL$4=$P25,
               $U25/12,
               1
      ))),0),
    ROUNDDOWN(
      BL25*IF(BL25*$I25&lt;=$L25,$J25,$I25)*
      IF($P25=1,
         $S25/12,
         IF(BL$4=1,
            $T25/12,
            IF(BL$4=$P25,
               $U25/12,
               1
      ))),0),
    ROUND(
      BL25*IF(BL25*$I25&lt;=$L25,$J25,$I25)*
      IF($P25=1,
         $S25/12,
         IF(BL$4=1,
            $T25/12,
            IF(BL$4=$P25,
               $U25/12,
               1
      ))),0)
))))</f>
        <v>-</v>
      </c>
      <c r="BN25" s="56" t="str">
        <f ca="1">IF($H25=リスト!$AA$4,"-",
   IF($C25="-","-",
     IF(BN$4&gt;$P25,"-",
       IF(BN$4=1,$E25,OFFSET(BN25,0,-2)-OFFSET(BN25,0,-1)
))))</f>
        <v>-</v>
      </c>
      <c r="BO25" s="57" t="str">
        <f>IF($H25=リスト!$AA$4,"-",
 IF($C25="-","-",
  IF(BN$4&gt;$P25,"-",
   CHOOSE(MATCH($H$3,リスト!$AE$3:$AE$5,0),
    ROUNDUP(
      BN25*IF(BN25*$I25&lt;=$L25,$J25,$I25)*
      IF($P25=1,
         $S25/12,
         IF(BN$4=1,
            $T25/12,
            IF(BN$4=$P25,
               $U25/12,
               1
      ))),0),
    ROUNDDOWN(
      BN25*IF(BN25*$I25&lt;=$L25,$J25,$I25)*
      IF($P25=1,
         $S25/12,
         IF(BN$4=1,
            $T25/12,
            IF(BN$4=$P25,
               $U25/12,
               1
      ))),0),
    ROUND(
      BN25*IF(BN25*$I25&lt;=$L25,$J25,$I25)*
      IF($P25=1,
         $S25/12,
         IF(BN$4=1,
            $T25/12,
            IF(BN$4=$P25,
               $U25/12,
               1
      ))),0)
))))</f>
        <v>-</v>
      </c>
      <c r="BP25" s="56" t="str">
        <f ca="1">IF($H25=リスト!$AA$4,"-",
   IF($C25="-","-",
     IF(BP$4&gt;$P25,"-",
       IF(BP$4=1,$E25,OFFSET(BP25,0,-2)-OFFSET(BP25,0,-1)
))))</f>
        <v>-</v>
      </c>
      <c r="BQ25" s="57" t="str">
        <f>IF($H25=リスト!$AA$4,"-",
 IF($C25="-","-",
  IF(BP$4&gt;$P25,"-",
   CHOOSE(MATCH($H$3,リスト!$AE$3:$AE$5,0),
    ROUNDUP(
      BP25*IF(BP25*$I25&lt;=$L25,$J25,$I25)*
      IF($P25=1,
         $S25/12,
         IF(BP$4=1,
            $T25/12,
            IF(BP$4=$P25,
               $U25/12,
               1
      ))),0),
    ROUNDDOWN(
      BP25*IF(BP25*$I25&lt;=$L25,$J25,$I25)*
      IF($P25=1,
         $S25/12,
         IF(BP$4=1,
            $T25/12,
            IF(BP$4=$P25,
               $U25/12,
               1
      ))),0),
    ROUND(
      BP25*IF(BP25*$I25&lt;=$L25,$J25,$I25)*
      IF($P25=1,
         $S25/12,
         IF(BP$4=1,
            $T25/12,
            IF(BP$4=$P25,
               $U25/12,
               1
      ))),0)
))))</f>
        <v>-</v>
      </c>
      <c r="BR25" s="56" t="str">
        <f ca="1">IF($H25=リスト!$AA$4,"-",
   IF($C25="-","-",
     IF(BR$4&gt;$P25,"-",
       IF(BR$4=1,$E25,OFFSET(BR25,0,-2)-OFFSET(BR25,0,-1)
))))</f>
        <v>-</v>
      </c>
      <c r="BS25" s="57" t="str">
        <f>IF($H25=リスト!$AA$4,"-",
 IF($C25="-","-",
  IF(BR$4&gt;$P25,"-",
   CHOOSE(MATCH($H$3,リスト!$AE$3:$AE$5,0),
    ROUNDUP(
      BR25*IF(BR25*$I25&lt;=$L25,$J25,$I25)*
      IF($P25=1,
         $S25/12,
         IF(BR$4=1,
            $T25/12,
            IF(BR$4=$P25,
               $U25/12,
               1
      ))),0),
    ROUNDDOWN(
      BR25*IF(BR25*$I25&lt;=$L25,$J25,$I25)*
      IF($P25=1,
         $S25/12,
         IF(BR$4=1,
            $T25/12,
            IF(BR$4=$P25,
               $U25/12,
               1
      ))),0),
    ROUND(
      BR25*IF(BR25*$I25&lt;=$L25,$J25,$I25)*
      IF($P25=1,
         $S25/12,
         IF(BR$4=1,
            $T25/12,
            IF(BR$4=$P25,
               $U25/12,
               1
      ))),0)
))))</f>
        <v>-</v>
      </c>
      <c r="BT25" s="56" t="str">
        <f ca="1">IF($H25=リスト!$AA$4,"-",
   IF($C25="-","-",
     IF(BT$4&gt;$P25,"-",
       IF(BT$4=1,$E25,OFFSET(BT25,0,-2)-OFFSET(BT25,0,-1)
))))</f>
        <v>-</v>
      </c>
      <c r="BU25" s="57" t="str">
        <f>IF($H25=リスト!$AA$4,"-",
 IF($C25="-","-",
  IF(BT$4&gt;$P25,"-",
   CHOOSE(MATCH($H$3,リスト!$AE$3:$AE$5,0),
    ROUNDUP(
      BT25*IF(BT25*$I25&lt;=$L25,$J25,$I25)*
      IF($P25=1,
         $S25/12,
         IF(BT$4=1,
            $T25/12,
            IF(BT$4=$P25,
               $U25/12,
               1
      ))),0),
    ROUNDDOWN(
      BT25*IF(BT25*$I25&lt;=$L25,$J25,$I25)*
      IF($P25=1,
         $S25/12,
         IF(BT$4=1,
            $T25/12,
            IF(BT$4=$P25,
               $U25/12,
               1
      ))),0),
    ROUND(
      BT25*IF(BT25*$I25&lt;=$L25,$J25,$I25)*
      IF($P25=1,
         $S25/12,
         IF(BT$4=1,
            $T25/12,
            IF(BT$4=$P25,
               $U25/12,
               1
      ))),0)
))))</f>
        <v>-</v>
      </c>
      <c r="BV25" s="56" t="str">
        <f ca="1">IF($H25=リスト!$AA$4,"-",
   IF($C25="-","-",
     IF(BV$4&gt;$P25,"-",
       IF(BV$4=1,$E25,OFFSET(BV25,0,-2)-OFFSET(BV25,0,-1)
))))</f>
        <v>-</v>
      </c>
      <c r="BW25" s="57" t="str">
        <f>IF($H25=リスト!$AA$4,"-",
 IF($C25="-","-",
  IF(BV$4&gt;$P25,"-",
   CHOOSE(MATCH($H$3,リスト!$AE$3:$AE$5,0),
    ROUNDUP(
      BV25*IF(BV25*$I25&lt;=$L25,$J25,$I25)*
      IF($P25=1,
         $S25/12,
         IF(BV$4=1,
            $T25/12,
            IF(BV$4=$P25,
               $U25/12,
               1
      ))),0),
    ROUNDDOWN(
      BV25*IF(BV25*$I25&lt;=$L25,$J25,$I25)*
      IF($P25=1,
         $S25/12,
         IF(BV$4=1,
            $T25/12,
            IF(BV$4=$P25,
               $U25/12,
               1
      ))),0),
    ROUND(
      BV25*IF(BV25*$I25&lt;=$L25,$J25,$I25)*
      IF($P25=1,
         $S25/12,
         IF(BV$4=1,
            $T25/12,
            IF(BV$4=$P25,
               $U25/12,
               1
      ))),0)
))))</f>
        <v>-</v>
      </c>
      <c r="BX25" s="56" t="str">
        <f ca="1">IF($H25=リスト!$AA$4,"-",
   IF($C25="-","-",
     IF(BX$4&gt;$P25,"-",
       IF(BX$4=1,$E25,OFFSET(BX25,0,-2)-OFFSET(BX25,0,-1)
))))</f>
        <v>-</v>
      </c>
      <c r="BY25" s="57" t="str">
        <f>IF($H25=リスト!$AA$4,"-",
 IF($C25="-","-",
  IF(BX$4&gt;$P25,"-",
   CHOOSE(MATCH($H$3,リスト!$AE$3:$AE$5,0),
    ROUNDUP(
      BX25*IF(BX25*$I25&lt;=$L25,$J25,$I25)*
      IF($P25=1,
         $S25/12,
         IF(BX$4=1,
            $T25/12,
            IF(BX$4=$P25,
               $U25/12,
               1
      ))),0),
    ROUNDDOWN(
      BX25*IF(BX25*$I25&lt;=$L25,$J25,$I25)*
      IF($P25=1,
         $S25/12,
         IF(BX$4=1,
            $T25/12,
            IF(BX$4=$P25,
               $U25/12,
               1
      ))),0),
    ROUND(
      BX25*IF(BX25*$I25&lt;=$L25,$J25,$I25)*
      IF($P25=1,
         $S25/12,
         IF(BX$4=1,
            $T25/12,
            IF(BX$4=$P25,
               $U25/12,
               1
      ))),0)
))))</f>
        <v>-</v>
      </c>
      <c r="BZ25" s="56" t="str">
        <f ca="1">IF($H25=リスト!$AA$4,"-",
   IF($C25="-","-",
     IF(BZ$4&gt;$P25,"-",
       IF(BZ$4=1,$E25,OFFSET(BZ25,0,-2)-OFFSET(BZ25,0,-1)
))))</f>
        <v>-</v>
      </c>
      <c r="CA25" s="57" t="str">
        <f>IF($H25=リスト!$AA$4,"-",
 IF($C25="-","-",
  IF(BZ$4&gt;$P25,"-",
   CHOOSE(MATCH($H$3,リスト!$AE$3:$AE$5,0),
    ROUNDUP(
      BZ25*IF(BZ25*$I25&lt;=$L25,$J25,$I25)*
      IF($P25=1,
         $S25/12,
         IF(BZ$4=1,
            $T25/12,
            IF(BZ$4=$P25,
               $U25/12,
               1
      ))),0),
    ROUNDDOWN(
      BZ25*IF(BZ25*$I25&lt;=$L25,$J25,$I25)*
      IF($P25=1,
         $S25/12,
         IF(BZ$4=1,
            $T25/12,
            IF(BZ$4=$P25,
               $U25/12,
               1
      ))),0),
    ROUND(
      BZ25*IF(BZ25*$I25&lt;=$L25,$J25,$I25)*
      IF($P25=1,
         $S25/12,
         IF(BZ$4=1,
            $T25/12,
            IF(BZ$4=$P25,
               $U25/12,
               1
      ))),0)
))))</f>
        <v>-</v>
      </c>
      <c r="CB25" s="56" t="str">
        <f ca="1">IF($H25=リスト!$AA$4,"-",
   IF($C25="-","-",
     IF(CB$4&gt;$P25,"-",
       IF(CB$4=1,$E25,OFFSET(CB25,0,-2)-OFFSET(CB25,0,-1)
))))</f>
        <v>-</v>
      </c>
      <c r="CC25" s="57" t="str">
        <f>IF($H25=リスト!$AA$4,"-",
 IF($C25="-","-",
  IF(CB$4&gt;$P25,"-",
   CHOOSE(MATCH($H$3,リスト!$AE$3:$AE$5,0),
    ROUNDUP(
      CB25*IF(CB25*$I25&lt;=$L25,$J25,$I25)*
      IF($P25=1,
         $S25/12,
         IF(CB$4=1,
            $T25/12,
            IF(CB$4=$P25,
               $U25/12,
               1
      ))),0),
    ROUNDDOWN(
      CB25*IF(CB25*$I25&lt;=$L25,$J25,$I25)*
      IF($P25=1,
         $S25/12,
         IF(CB$4=1,
            $T25/12,
            IF(CB$4=$P25,
               $U25/12,
               1
      ))),0),
    ROUND(
      CB25*IF(CB25*$I25&lt;=$L25,$J25,$I25)*
      IF($P25=1,
         $S25/12,
         IF(CB$4=1,
            $T25/12,
            IF(CB$4=$P25,
               $U25/12,
               1
      ))),0)
))))</f>
        <v>-</v>
      </c>
      <c r="CD25" s="56" t="str">
        <f ca="1">IF($H25=リスト!$AA$4,"-",
   IF($C25="-","-",
     IF(CD$4&gt;$P25,"-",
       IF(CD$4=1,$E25,OFFSET(CD25,0,-2)-OFFSET(CD25,0,-1)
))))</f>
        <v>-</v>
      </c>
      <c r="CE25" s="57" t="str">
        <f>IF($H25=リスト!$AA$4,"-",
 IF($C25="-","-",
  IF(CD$4&gt;$P25,"-",
   CHOOSE(MATCH($H$3,リスト!$AE$3:$AE$5,0),
    ROUNDUP(
      CD25*IF(CD25*$I25&lt;=$L25,$J25,$I25)*
      IF($P25=1,
         $S25/12,
         IF(CD$4=1,
            $T25/12,
            IF(CD$4=$P25,
               $U25/12,
               1
      ))),0),
    ROUNDDOWN(
      CD25*IF(CD25*$I25&lt;=$L25,$J25,$I25)*
      IF($P25=1,
         $S25/12,
         IF(CD$4=1,
            $T25/12,
            IF(CD$4=$P25,
               $U25/12,
               1
      ))),0),
    ROUND(
      CD25*IF(CD25*$I25&lt;=$L25,$J25,$I25)*
      IF($P25=1,
         $S25/12,
         IF(CD$4=1,
            $T25/12,
            IF(CD$4=$P25,
               $U25/12,
               1
      ))),0)
))))</f>
        <v>-</v>
      </c>
      <c r="CF25" s="56" t="str">
        <f ca="1">IF($H25=リスト!$AA$4,"-",
   IF($C25="-","-",
     IF(CF$4&gt;$P25,"-",
       IF(CF$4=1,$E25,OFFSET(CF25,0,-2)-OFFSET(CF25,0,-1)
))))</f>
        <v>-</v>
      </c>
      <c r="CG25" s="57" t="str">
        <f>IF($H25=リスト!$AA$4,"-",
 IF($C25="-","-",
  IF(CF$4&gt;$P25,"-",
   CHOOSE(MATCH($H$3,リスト!$AE$3:$AE$5,0),
    ROUNDUP(
      CF25*IF(CF25*$I25&lt;=$L25,$J25,$I25)*
      IF($P25=1,
         $S25/12,
         IF(CF$4=1,
            $T25/12,
            IF(CF$4=$P25,
               $U25/12,
               1
      ))),0),
    ROUNDDOWN(
      CF25*IF(CF25*$I25&lt;=$L25,$J25,$I25)*
      IF($P25=1,
         $S25/12,
         IF(CF$4=1,
            $T25/12,
            IF(CF$4=$P25,
               $U25/12,
               1
      ))),0),
    ROUND(
      CF25*IF(CF25*$I25&lt;=$L25,$J25,$I25)*
      IF($P25=1,
         $S25/12,
         IF(CF$4=1,
            $T25/12,
            IF(CF$4=$P25,
               $U25/12,
               1
      ))),0)
))))</f>
        <v>-</v>
      </c>
      <c r="CH25" s="56" t="str">
        <f ca="1">IF($H25=リスト!$AA$4,"-",
   IF($C25="-","-",
     IF(CH$4&gt;$P25,"-",
       IF(CH$4=1,$E25,OFFSET(CH25,0,-2)-OFFSET(CH25,0,-1)
))))</f>
        <v>-</v>
      </c>
      <c r="CI25" s="57" t="str">
        <f>IF($H25=リスト!$AA$4,"-",
 IF($C25="-","-",
  IF(CH$4&gt;$P25,"-",
   CHOOSE(MATCH($H$3,リスト!$AE$3:$AE$5,0),
    ROUNDUP(
      CH25*IF(CH25*$I25&lt;=$L25,$J25,$I25)*
      IF($P25=1,
         $S25/12,
         IF(CH$4=1,
            $T25/12,
            IF(CH$4=$P25,
               $U25/12,
               1
      ))),0),
    ROUNDDOWN(
      CH25*IF(CH25*$I25&lt;=$L25,$J25,$I25)*
      IF($P25=1,
         $S25/12,
         IF(CH$4=1,
            $T25/12,
            IF(CH$4=$P25,
               $U25/12,
               1
      ))),0),
    ROUND(
      CH25*IF(CH25*$I25&lt;=$L25,$J25,$I25)*
      IF($P25=1,
         $S25/12,
         IF(CH$4=1,
            $T25/12,
            IF(CH$4=$P25,
               $U25/12,
               1
      ))),0)
))))</f>
        <v>-</v>
      </c>
      <c r="CJ25" s="56" t="str">
        <f ca="1">IF($H25=リスト!$AA$4,"-",
   IF($C25="-","-",
     IF(CJ$4&gt;$P25,"-",
       IF(CJ$4=1,$E25,OFFSET(CJ25,0,-2)-OFFSET(CJ25,0,-1)
))))</f>
        <v>-</v>
      </c>
      <c r="CK25" s="57" t="str">
        <f>IF($H25=リスト!$AA$4,"-",
 IF($C25="-","-",
  IF(CJ$4&gt;$P25,"-",
   CHOOSE(MATCH($H$3,リスト!$AE$3:$AE$5,0),
    ROUNDUP(
      CJ25*IF(CJ25*$I25&lt;=$L25,$J25,$I25)*
      IF($P25=1,
         $S25/12,
         IF(CJ$4=1,
            $T25/12,
            IF(CJ$4=$P25,
               $U25/12,
               1
      ))),0),
    ROUNDDOWN(
      CJ25*IF(CJ25*$I25&lt;=$L25,$J25,$I25)*
      IF($P25=1,
         $S25/12,
         IF(CJ$4=1,
            $T25/12,
            IF(CJ$4=$P25,
               $U25/12,
               1
      ))),0),
    ROUND(
      CJ25*IF(CJ25*$I25&lt;=$L25,$J25,$I25)*
      IF($P25=1,
         $S25/12,
         IF(CJ$4=1,
            $T25/12,
            IF(CJ$4=$P25,
               $U25/12,
               1
      ))),0)
))))</f>
        <v>-</v>
      </c>
      <c r="CL25" s="56" t="str">
        <f ca="1">IF($H25=リスト!$AA$4,"-",
   IF($C25="-","-",
     IF(CL$4&gt;$P25,"-",
       IF(CL$4=1,$E25,OFFSET(CL25,0,-2)-OFFSET(CL25,0,-1)
))))</f>
        <v>-</v>
      </c>
      <c r="CM25" s="57" t="str">
        <f>IF($H25=リスト!$AA$4,"-",
 IF($C25="-","-",
  IF(CL$4&gt;$P25,"-",
   CHOOSE(MATCH($H$3,リスト!$AE$3:$AE$5,0),
    ROUNDUP(
      CL25*IF(CL25*$I25&lt;=$L25,$J25,$I25)*
      IF($P25=1,
         $S25/12,
         IF(CL$4=1,
            $T25/12,
            IF(CL$4=$P25,
               $U25/12,
               1
      ))),0),
    ROUNDDOWN(
      CL25*IF(CL25*$I25&lt;=$L25,$J25,$I25)*
      IF($P25=1,
         $S25/12,
         IF(CL$4=1,
            $T25/12,
            IF(CL$4=$P25,
               $U25/12,
               1
      ))),0),
    ROUND(
      CL25*IF(CL25*$I25&lt;=$L25,$J25,$I25)*
      IF($P25=1,
         $S25/12,
         IF(CL$4=1,
            $T25/12,
            IF(CL$4=$P25,
               $U25/12,
               1
      ))),0)
))))</f>
        <v>-</v>
      </c>
      <c r="CN25" s="56" t="str">
        <f ca="1">IF($H25=リスト!$AA$4,"-",
   IF($C25="-","-",
     IF(CN$4&gt;$P25,"-",
       IF(CN$4=1,$E25,OFFSET(CN25,0,-2)-OFFSET(CN25,0,-1)
))))</f>
        <v>-</v>
      </c>
      <c r="CO25" s="57" t="str">
        <f>IF($H25=リスト!$AA$4,"-",
 IF($C25="-","-",
  IF(CN$4&gt;$P25,"-",
   CHOOSE(MATCH($H$3,リスト!$AE$3:$AE$5,0),
    ROUNDUP(
      CN25*IF(CN25*$I25&lt;=$L25,$J25,$I25)*
      IF($P25=1,
         $S25/12,
         IF(CN$4=1,
            $T25/12,
            IF(CN$4=$P25,
               $U25/12,
               1
      ))),0),
    ROUNDDOWN(
      CN25*IF(CN25*$I25&lt;=$L25,$J25,$I25)*
      IF($P25=1,
         $S25/12,
         IF(CN$4=1,
            $T25/12,
            IF(CN$4=$P25,
               $U25/12,
               1
      ))),0),
    ROUND(
      CN25*IF(CN25*$I25&lt;=$L25,$J25,$I25)*
      IF($P25=1,
         $S25/12,
         IF(CN$4=1,
            $T25/12,
            IF(CN$4=$P25,
               $U25/12,
               1
      ))),0)
))))</f>
        <v>-</v>
      </c>
      <c r="CP25" s="56" t="str">
        <f ca="1">IF($H25=リスト!$AA$4,"-",
   IF($C25="-","-",
     IF(CP$4&gt;$P25,"-",
       IF(CP$4=1,$E25,OFFSET(CP25,0,-2)-OFFSET(CP25,0,-1)
))))</f>
        <v>-</v>
      </c>
      <c r="CQ25" s="57" t="str">
        <f>IF($H25=リスト!$AA$4,"-",
 IF($C25="-","-",
  IF(CP$4&gt;$P25,"-",
   CHOOSE(MATCH($H$3,リスト!$AE$3:$AE$5,0),
    ROUNDUP(
      CP25*IF(CP25*$I25&lt;=$L25,$J25,$I25)*
      IF($P25=1,
         $S25/12,
         IF(CP$4=1,
            $T25/12,
            IF(CP$4=$P25,
               $U25/12,
               1
      ))),0),
    ROUNDDOWN(
      CP25*IF(CP25*$I25&lt;=$L25,$J25,$I25)*
      IF($P25=1,
         $S25/12,
         IF(CP$4=1,
            $T25/12,
            IF(CP$4=$P25,
               $U25/12,
               1
      ))),0),
    ROUND(
      CP25*IF(CP25*$I25&lt;=$L25,$J25,$I25)*
      IF($P25=1,
         $S25/12,
         IF(CP$4=1,
            $T25/12,
            IF(CP$4=$P25,
               $U25/12,
               1
      ))),0)
))))</f>
        <v>-</v>
      </c>
      <c r="CR25" s="56" t="str">
        <f ca="1">IF($H25=リスト!$AA$4,"-",
   IF($C25="-","-",
     IF(CR$4&gt;$P25,"-",
       IF(CR$4=1,$E25,OFFSET(CR25,0,-2)-OFFSET(CR25,0,-1)
))))</f>
        <v>-</v>
      </c>
      <c r="CS25" s="57" t="str">
        <f>IF($H25=リスト!$AA$4,"-",
 IF($C25="-","-",
  IF(CR$4&gt;$P25,"-",
   CHOOSE(MATCH($H$3,リスト!$AE$3:$AE$5,0),
    ROUNDUP(
      CR25*IF(CR25*$I25&lt;=$L25,$J25,$I25)*
      IF($P25=1,
         $S25/12,
         IF(CR$4=1,
            $T25/12,
            IF(CR$4=$P25,
               $U25/12,
               1
      ))),0),
    ROUNDDOWN(
      CR25*IF(CR25*$I25&lt;=$L25,$J25,$I25)*
      IF($P25=1,
         $S25/12,
         IF(CR$4=1,
            $T25/12,
            IF(CR$4=$P25,
               $U25/12,
               1
      ))),0),
    ROUND(
      CR25*IF(CR25*$I25&lt;=$L25,$J25,$I25)*
      IF($P25=1,
         $S25/12,
         IF(CR$4=1,
            $T25/12,
            IF(CR$4=$P25,
               $U25/12,
               1
      ))),0)
))))</f>
        <v>-</v>
      </c>
      <c r="CT25" s="56" t="str">
        <f ca="1">IF($H25=リスト!$AA$4,"-",
   IF($C25="-","-",
     IF(CT$4&gt;$P25,"-",
       IF(CT$4=1,$E25,OFFSET(CT25,0,-2)-OFFSET(CT25,0,-1)
))))</f>
        <v>-</v>
      </c>
      <c r="CU25" s="57" t="str">
        <f>IF($H25=リスト!$AA$4,"-",
 IF($C25="-","-",
  IF(CT$4&gt;$P25,"-",
   CHOOSE(MATCH($H$3,リスト!$AE$3:$AE$5,0),
    ROUNDUP(
      CT25*IF(CT25*$I25&lt;=$L25,$J25,$I25)*
      IF($P25=1,
         $S25/12,
         IF(CT$4=1,
            $T25/12,
            IF(CT$4=$P25,
               $U25/12,
               1
      ))),0),
    ROUNDDOWN(
      CT25*IF(CT25*$I25&lt;=$L25,$J25,$I25)*
      IF($P25=1,
         $S25/12,
         IF(CT$4=1,
            $T25/12,
            IF(CT$4=$P25,
               $U25/12,
               1
      ))),0),
    ROUND(
      CT25*IF(CT25*$I25&lt;=$L25,$J25,$I25)*
      IF($P25=1,
         $S25/12,
         IF(CT$4=1,
            $T25/12,
            IF(CT$4=$P25,
               $U25/12,
               1
      ))),0)
))))</f>
        <v>-</v>
      </c>
      <c r="CV25" s="56" t="str">
        <f ca="1">IF($H25=リスト!$AA$4,"-",
   IF($C25="-","-",
     IF(CV$4&gt;$P25,"-",
       IF(CV$4=1,$E25,OFFSET(CV25,0,-2)-OFFSET(CV25,0,-1)
))))</f>
        <v>-</v>
      </c>
      <c r="CW25" s="57" t="str">
        <f>IF($H25=リスト!$AA$4,"-",
 IF($C25="-","-",
  IF(CV$4&gt;$P25,"-",
   CHOOSE(MATCH($H$3,リスト!$AE$3:$AE$5,0),
    ROUNDUP(
      CV25*IF(CV25*$I25&lt;=$L25,$J25,$I25)*
      IF($P25=1,
         $S25/12,
         IF(CV$4=1,
            $T25/12,
            IF(CV$4=$P25,
               $U25/12,
               1
      ))),0),
    ROUNDDOWN(
      CV25*IF(CV25*$I25&lt;=$L25,$J25,$I25)*
      IF($P25=1,
         $S25/12,
         IF(CV$4=1,
            $T25/12,
            IF(CV$4=$P25,
               $U25/12,
               1
      ))),0),
    ROUND(
      CV25*IF(CV25*$I25&lt;=$L25,$J25,$I25)*
      IF($P25=1,
         $S25/12,
         IF(CV$4=1,
            $T25/12,
            IF(CV$4=$P25,
               $U25/12,
               1
      ))),0)
))))</f>
        <v>-</v>
      </c>
      <c r="CX25" s="56" t="str">
        <f ca="1">IF($H25=リスト!$AA$4,"-",
   IF($C25="-","-",
     IF(CX$4&gt;$P25,"-",
       IF(CX$4=1,$E25,OFFSET(CX25,0,-2)-OFFSET(CX25,0,-1)
))))</f>
        <v>-</v>
      </c>
      <c r="CY25" s="57" t="str">
        <f>IF($H25=リスト!$AA$4,"-",
 IF($C25="-","-",
  IF(CX$4&gt;$P25,"-",
   CHOOSE(MATCH($H$3,リスト!$AE$3:$AE$5,0),
    ROUNDUP(
      CX25*IF(CX25*$I25&lt;=$L25,$J25,$I25)*
      IF($P25=1,
         $S25/12,
         IF(CX$4=1,
            $T25/12,
            IF(CX$4=$P25,
               $U25/12,
               1
      ))),0),
    ROUNDDOWN(
      CX25*IF(CX25*$I25&lt;=$L25,$J25,$I25)*
      IF($P25=1,
         $S25/12,
         IF(CX$4=1,
            $T25/12,
            IF(CX$4=$P25,
               $U25/12,
               1
      ))),0),
    ROUND(
      CX25*IF(CX25*$I25&lt;=$L25,$J25,$I25)*
      IF($P25=1,
         $S25/12,
         IF(CX$4=1,
            $T25/12,
            IF(CX$4=$P25,
               $U25/12,
               1
      ))),0)
))))</f>
        <v>-</v>
      </c>
      <c r="CZ25" s="56" t="str">
        <f ca="1">IF($H25=リスト!$AA$4,"-",
   IF($C25="-","-",
     IF(CZ$4&gt;$P25,"-",
       IF(CZ$4=1,$E25,OFFSET(CZ25,0,-2)-OFFSET(CZ25,0,-1)
))))</f>
        <v>-</v>
      </c>
      <c r="DA25" s="57" t="str">
        <f>IF($H25=リスト!$AA$4,"-",
 IF($C25="-","-",
  IF(CZ$4&gt;$P25,"-",
   CHOOSE(MATCH($H$3,リスト!$AE$3:$AE$5,0),
    ROUNDUP(
      CZ25*IF(CZ25*$I25&lt;=$L25,$J25,$I25)*
      IF($P25=1,
         $S25/12,
         IF(CZ$4=1,
            $T25/12,
            IF(CZ$4=$P25,
               $U25/12,
               1
      ))),0),
    ROUNDDOWN(
      CZ25*IF(CZ25*$I25&lt;=$L25,$J25,$I25)*
      IF($P25=1,
         $S25/12,
         IF(CZ$4=1,
            $T25/12,
            IF(CZ$4=$P25,
               $U25/12,
               1
      ))),0),
    ROUND(
      CZ25*IF(CZ25*$I25&lt;=$L25,$J25,$I25)*
      IF($P25=1,
         $S25/12,
         IF(CZ$4=1,
            $T25/12,
            IF(CZ$4=$P25,
               $U25/12,
               1
      ))),0)
))))</f>
        <v>-</v>
      </c>
      <c r="DB25" s="56" t="str">
        <f ca="1">IF($H25=リスト!$AA$4,"-",
   IF($C25="-","-",
     IF(DB$4&gt;$P25,"-",
       IF(DB$4=1,$E25,OFFSET(DB25,0,-2)-OFFSET(DB25,0,-1)
))))</f>
        <v>-</v>
      </c>
      <c r="DC25" s="57" t="str">
        <f>IF($H25=リスト!$AA$4,"-",
 IF($C25="-","-",
  IF(DB$4&gt;$P25,"-",
   CHOOSE(MATCH($H$3,リスト!$AE$3:$AE$5,0),
    ROUNDUP(
      DB25*IF(DB25*$I25&lt;=$L25,$J25,$I25)*
      IF($P25=1,
         $S25/12,
         IF(DB$4=1,
            $T25/12,
            IF(DB$4=$P25,
               $U25/12,
               1
      ))),0),
    ROUNDDOWN(
      DB25*IF(DB25*$I25&lt;=$L25,$J25,$I25)*
      IF($P25=1,
         $S25/12,
         IF(DB$4=1,
            $T25/12,
            IF(DB$4=$P25,
               $U25/12,
               1
      ))),0),
    ROUND(
      DB25*IF(DB25*$I25&lt;=$L25,$J25,$I25)*
      IF($P25=1,
         $S25/12,
         IF(DB$4=1,
            $T25/12,
            IF(DB$4=$P25,
               $U25/12,
               1
      ))),0)
))))</f>
        <v>-</v>
      </c>
      <c r="DD25" s="56" t="str">
        <f ca="1">IF($H25=リスト!$AA$4,"-",
   IF($C25="-","-",
     IF(DD$4&gt;$P25,"-",
       IF(DD$4=1,$E25,OFFSET(DD25,0,-2)-OFFSET(DD25,0,-1)
))))</f>
        <v>-</v>
      </c>
      <c r="DE25" s="57" t="str">
        <f>IF($H25=リスト!$AA$4,"-",
 IF($C25="-","-",
  IF(DD$4&gt;$P25,"-",
   CHOOSE(MATCH($H$3,リスト!$AE$3:$AE$5,0),
    ROUNDUP(
      DD25*IF(DD25*$I25&lt;=$L25,$J25,$I25)*
      IF($P25=1,
         $S25/12,
         IF(DD$4=1,
            $T25/12,
            IF(DD$4=$P25,
               $U25/12,
               1
      ))),0),
    ROUNDDOWN(
      DD25*IF(DD25*$I25&lt;=$L25,$J25,$I25)*
      IF($P25=1,
         $S25/12,
         IF(DD$4=1,
            $T25/12,
            IF(DD$4=$P25,
               $U25/12,
               1
      ))),0),
    ROUND(
      DD25*IF(DD25*$I25&lt;=$L25,$J25,$I25)*
      IF($P25=1,
         $S25/12,
         IF(DD$4=1,
            $T25/12,
            IF(DD$4=$P25,
               $U25/12,
               1
      ))),0)
))))</f>
        <v>-</v>
      </c>
      <c r="DF25" s="56" t="str">
        <f ca="1">IF($H25=リスト!$AA$4,"-",
   IF($C25="-","-",
     IF(DF$4&gt;$P25,"-",
       IF(DF$4=1,$E25,OFFSET(DF25,0,-2)-OFFSET(DF25,0,-1)
))))</f>
        <v>-</v>
      </c>
      <c r="DG25" s="57" t="str">
        <f>IF($H25=リスト!$AA$4,"-",
 IF($C25="-","-",
  IF(DF$4&gt;$P25,"-",
   CHOOSE(MATCH($H$3,リスト!$AE$3:$AE$5,0),
    ROUNDUP(
      DF25*IF(DF25*$I25&lt;=$L25,$J25,$I25)*
      IF($P25=1,
         $S25/12,
         IF(DF$4=1,
            $T25/12,
            IF(DF$4=$P25,
               $U25/12,
               1
      ))),0),
    ROUNDDOWN(
      DF25*IF(DF25*$I25&lt;=$L25,$J25,$I25)*
      IF($P25=1,
         $S25/12,
         IF(DF$4=1,
            $T25/12,
            IF(DF$4=$P25,
               $U25/12,
               1
      ))),0),
    ROUND(
      DF25*IF(DF25*$I25&lt;=$L25,$J25,$I25)*
      IF($P25=1,
         $S25/12,
         IF(DF$4=1,
            $T25/12,
            IF(DF$4=$P25,
               $U25/12,
               1
      ))),0)
))))</f>
        <v>-</v>
      </c>
      <c r="DH25" s="56" t="str">
        <f ca="1">IF($H25=リスト!$AA$4,"-",
   IF($C25="-","-",
     IF(DH$4&gt;$P25,"-",
       IF(DH$4=1,$E25,OFFSET(DH25,0,-2)-OFFSET(DH25,0,-1)
))))</f>
        <v>-</v>
      </c>
      <c r="DI25" s="57" t="str">
        <f>IF($H25=リスト!$AA$4,"-",
 IF($C25="-","-",
  IF(DH$4&gt;$P25,"-",
   CHOOSE(MATCH($H$3,リスト!$AE$3:$AE$5,0),
    ROUNDUP(
      DH25*IF(DH25*$I25&lt;=$L25,$J25,$I25)*
      IF($P25=1,
         $S25/12,
         IF(DH$4=1,
            $T25/12,
            IF(DH$4=$P25,
               $U25/12,
               1
      ))),0),
    ROUNDDOWN(
      DH25*IF(DH25*$I25&lt;=$L25,$J25,$I25)*
      IF($P25=1,
         $S25/12,
         IF(DH$4=1,
            $T25/12,
            IF(DH$4=$P25,
               $U25/12,
               1
      ))),0),
    ROUND(
      DH25*IF(DH25*$I25&lt;=$L25,$J25,$I25)*
      IF($P25=1,
         $S25/12,
         IF(DH$4=1,
            $T25/12,
            IF(DH$4=$P25,
               $U25/12,
               1
      ))),0)
))))</f>
        <v>-</v>
      </c>
      <c r="DJ25" s="56" t="str">
        <f ca="1">IF($H25=リスト!$AA$4,"-",
   IF($C25="-","-",
     IF(DJ$4&gt;$P25,"-",
       IF(DJ$4=1,$E25,OFFSET(DJ25,0,-2)-OFFSET(DJ25,0,-1)
))))</f>
        <v>-</v>
      </c>
      <c r="DK25" s="57" t="str">
        <f>IF($H25=リスト!$AA$4,"-",
 IF($C25="-","-",
  IF(DJ$4&gt;$P25,"-",
   CHOOSE(MATCH($H$3,リスト!$AE$3:$AE$5,0),
    ROUNDUP(
      DJ25*IF(DJ25*$I25&lt;=$L25,$J25,$I25)*
      IF($P25=1,
         $S25/12,
         IF(DJ$4=1,
            $T25/12,
            IF(DJ$4=$P25,
               $U25/12,
               1
      ))),0),
    ROUNDDOWN(
      DJ25*IF(DJ25*$I25&lt;=$L25,$J25,$I25)*
      IF($P25=1,
         $S25/12,
         IF(DJ$4=1,
            $T25/12,
            IF(DJ$4=$P25,
               $U25/12,
               1
      ))),0),
    ROUND(
      DJ25*IF(DJ25*$I25&lt;=$L25,$J25,$I25)*
      IF($P25=1,
         $S25/12,
         IF(DJ$4=1,
            $T25/12,
            IF(DJ$4=$P25,
               $U25/12,
               1
      ))),0)
))))</f>
        <v>-</v>
      </c>
      <c r="DL25" s="56" t="str">
        <f ca="1">IF($H25=リスト!$AA$4,"-",
   IF($C25="-","-",
     IF(DL$4&gt;$P25,"-",
       IF(DL$4=1,$E25,OFFSET(DL25,0,-2)-OFFSET(DL25,0,-1)
))))</f>
        <v>-</v>
      </c>
      <c r="DM25" s="57" t="str">
        <f>IF($H25=リスト!$AA$4,"-",
 IF($C25="-","-",
  IF(DL$4&gt;$P25,"-",
   CHOOSE(MATCH($H$3,リスト!$AE$3:$AE$5,0),
    ROUNDUP(
      DL25*IF(DL25*$I25&lt;=$L25,$J25,$I25)*
      IF($P25=1,
         $S25/12,
         IF(DL$4=1,
            $T25/12,
            IF(DL$4=$P25,
               $U25/12,
               1
      ))),0),
    ROUNDDOWN(
      DL25*IF(DL25*$I25&lt;=$L25,$J25,$I25)*
      IF($P25=1,
         $S25/12,
         IF(DL$4=1,
            $T25/12,
            IF(DL$4=$P25,
               $U25/12,
               1
      ))),0),
    ROUND(
      DL25*IF(DL25*$I25&lt;=$L25,$J25,$I25)*
      IF($P25=1,
         $S25/12,
         IF(DL$4=1,
            $T25/12,
            IF(DL$4=$P25,
               $U25/12,
               1
      ))),0)
))))</f>
        <v>-</v>
      </c>
      <c r="DN25" s="56" t="str">
        <f ca="1">IF($H25=リスト!$AA$4,"-",
   IF($C25="-","-",
     IF(DN$4&gt;$P25,"-",
       IF(DN$4=1,$E25,OFFSET(DN25,0,-2)-OFFSET(DN25,0,-1)
))))</f>
        <v>-</v>
      </c>
      <c r="DO25" s="57" t="str">
        <f>IF($H25=リスト!$AA$4,"-",
 IF($C25="-","-",
  IF(DN$4&gt;$P25,"-",
   CHOOSE(MATCH($H$3,リスト!$AE$3:$AE$5,0),
    ROUNDUP(
      DN25*IF(DN25*$I25&lt;=$L25,$J25,$I25)*
      IF($P25=1,
         $S25/12,
         IF(DN$4=1,
            $T25/12,
            IF(DN$4=$P25,
               $U25/12,
               1
      ))),0),
    ROUNDDOWN(
      DN25*IF(DN25*$I25&lt;=$L25,$J25,$I25)*
      IF($P25=1,
         $S25/12,
         IF(DN$4=1,
            $T25/12,
            IF(DN$4=$P25,
               $U25/12,
               1
      ))),0),
    ROUND(
      DN25*IF(DN25*$I25&lt;=$L25,$J25,$I25)*
      IF($P25=1,
         $S25/12,
         IF(DN$4=1,
            $T25/12,
            IF(DN$4=$P25,
               $U25/12,
               1
      ))),0)
))))</f>
        <v>-</v>
      </c>
      <c r="DP25" s="56" t="str">
        <f ca="1">IF($H25=リスト!$AA$4,"-",
   IF($C25="-","-",
     IF(DP$4&gt;$P25,"-",
       IF(DP$4=1,$E25,OFFSET(DP25,0,-2)-OFFSET(DP25,0,-1)
))))</f>
        <v>-</v>
      </c>
      <c r="DQ25" s="57" t="str">
        <f>IF($H25=リスト!$AA$4,"-",
 IF($C25="-","-",
  IF(DP$4&gt;$P25,"-",
   CHOOSE(MATCH($H$3,リスト!$AE$3:$AE$5,0),
    ROUNDUP(
      DP25*IF(DP25*$I25&lt;=$L25,$J25,$I25)*
      IF($P25=1,
         $S25/12,
         IF(DP$4=1,
            $T25/12,
            IF(DP$4=$P25,
               $U25/12,
               1
      ))),0),
    ROUNDDOWN(
      DP25*IF(DP25*$I25&lt;=$L25,$J25,$I25)*
      IF($P25=1,
         $S25/12,
         IF(DP$4=1,
            $T25/12,
            IF(DP$4=$P25,
               $U25/12,
               1
      ))),0),
    ROUND(
      DP25*IF(DP25*$I25&lt;=$L25,$J25,$I25)*
      IF($P25=1,
         $S25/12,
         IF(DP$4=1,
            $T25/12,
            IF(DP$4=$P25,
               $U25/12,
               1
      ))),0)
))))</f>
        <v>-</v>
      </c>
      <c r="DR25" s="56" t="str">
        <f ca="1">IF($H25=リスト!$AA$4,"-",
   IF($C25="-","-",
     IF(DR$4&gt;$P25,"-",
       IF(DR$4=1,$E25,OFFSET(DR25,0,-2)-OFFSET(DR25,0,-1)
))))</f>
        <v>-</v>
      </c>
      <c r="DS25" s="57" t="str">
        <f>IF($H25=リスト!$AA$4,"-",
 IF($C25="-","-",
  IF(DR$4&gt;$P25,"-",
   CHOOSE(MATCH($H$3,リスト!$AE$3:$AE$5,0),
    ROUNDUP(
      DR25*IF(DR25*$I25&lt;=$L25,$J25,$I25)*
      IF($P25=1,
         $S25/12,
         IF(DR$4=1,
            $T25/12,
            IF(DR$4=$P25,
               $U25/12,
               1
      ))),0),
    ROUNDDOWN(
      DR25*IF(DR25*$I25&lt;=$L25,$J25,$I25)*
      IF($P25=1,
         $S25/12,
         IF(DR$4=1,
            $T25/12,
            IF(DR$4=$P25,
               $U25/12,
               1
      ))),0),
    ROUND(
      DR25*IF(DR25*$I25&lt;=$L25,$J25,$I25)*
      IF($P25=1,
         $S25/12,
         IF(DR$4=1,
            $T25/12,
            IF(DR$4=$P25,
               $U25/12,
               1
      ))),0)
))))</f>
        <v>-</v>
      </c>
      <c r="DT25" s="56" t="str" cm="1">
        <f t="array" ref="DT25">IF($H25&lt;&gt;リスト!$AA$3,"-",$E25-SUMPRODUCT(IFERROR($Y25:$DS25*1,0), --(MOD(COLUMN($Y25:$DS25)-COLUMN($Y25),2)=0)))</f>
        <v>-</v>
      </c>
      <c r="DU25" s="56" t="str">
        <f>IF($H25&lt;&gt;リスト!$AA$4,"-",
    IF($H$3=リスト!$AE$3,$E25-ROUNDUP($E25*I25*$W25/12,0),
    IF($H$3=リスト!$AE$4,$E25-ROUNDDOWN($E25*I25*$W25/12,0),
    IF($H$3=リスト!$AE$5,$E25-ROUND($E25*I25*$W25/12,0),
    "-"))))</f>
        <v>-</v>
      </c>
    </row>
    <row r="29" spans="2:125">
      <c r="AN29" s="98"/>
    </row>
    <row r="31" spans="2:125" ht="17.45">
      <c r="J31" s="103" t="s">
        <v>204</v>
      </c>
    </row>
    <row r="32" spans="2:125">
      <c r="O32" s="110"/>
      <c r="P32" s="110"/>
      <c r="Q32" s="110"/>
      <c r="R32" s="110"/>
      <c r="S32" s="110"/>
    </row>
    <row r="33" spans="15:18">
      <c r="O33" s="110"/>
      <c r="P33" s="110"/>
      <c r="Q33" s="110"/>
      <c r="R33" s="110"/>
    </row>
  </sheetData>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38E5C-48AB-4F7F-A1A2-F6098571C359}">
  <sheetPr>
    <tabColor theme="1" tint="0.249977111117893"/>
  </sheetPr>
  <dimension ref="B2:DU33"/>
  <sheetViews>
    <sheetView showGridLines="0" topLeftCell="D1" zoomScale="70" zoomScaleNormal="70" workbookViewId="0"/>
  </sheetViews>
  <sheetFormatPr defaultColWidth="8.88671875" defaultRowHeight="15" outlineLevelCol="1"/>
  <cols>
    <col min="1" max="1" width="2.33203125" style="1" customWidth="1"/>
    <col min="2" max="2" width="4.44140625" style="1" customWidth="1"/>
    <col min="3" max="3" width="47.77734375" style="1" customWidth="1"/>
    <col min="4" max="4" width="9.44140625" style="1" customWidth="1"/>
    <col min="5" max="7" width="12.33203125" style="1" customWidth="1"/>
    <col min="8" max="8" width="9.44140625" style="1" customWidth="1"/>
    <col min="9" max="9" width="7.5546875" style="1" customWidth="1"/>
    <col min="10" max="10" width="11.44140625" style="1" customWidth="1"/>
    <col min="11" max="11" width="9.77734375" style="1" customWidth="1"/>
    <col min="12" max="12" width="11.44140625" style="1" customWidth="1"/>
    <col min="13" max="15" width="13.21875" style="1" customWidth="1"/>
    <col min="16" max="16" width="10.6640625" style="1" bestFit="1" customWidth="1"/>
    <col min="17" max="18" width="8.21875" style="1" bestFit="1" customWidth="1"/>
    <col min="19" max="20" width="17.5546875" style="1" customWidth="1"/>
    <col min="21" max="21" width="16.33203125" style="1" customWidth="1"/>
    <col min="22" max="22" width="13.44140625" style="1" bestFit="1" customWidth="1"/>
    <col min="23" max="23" width="5.6640625" style="1" customWidth="1"/>
    <col min="24" max="24" width="13.33203125" style="1" customWidth="1"/>
    <col min="25" max="25" width="15.6640625" style="1" customWidth="1"/>
    <col min="26" max="26" width="13.33203125" style="1" customWidth="1" outlineLevel="1"/>
    <col min="27" max="27" width="15.6640625" style="1" customWidth="1" outlineLevel="1"/>
    <col min="28" max="28" width="13.33203125" style="1" customWidth="1" outlineLevel="1"/>
    <col min="29" max="29" width="15.6640625" style="1" customWidth="1" outlineLevel="1"/>
    <col min="30" max="30" width="13.33203125" style="1" customWidth="1" outlineLevel="1"/>
    <col min="31" max="31" width="15.6640625" style="1" customWidth="1" outlineLevel="1"/>
    <col min="32" max="32" width="13.33203125" style="1" customWidth="1" outlineLevel="1"/>
    <col min="33" max="33" width="15.6640625" style="1" customWidth="1" outlineLevel="1"/>
    <col min="34" max="34" width="13.33203125" style="1" customWidth="1" outlineLevel="1"/>
    <col min="35" max="35" width="15.6640625" style="1" customWidth="1" outlineLevel="1"/>
    <col min="36" max="36" width="13.33203125" style="1" customWidth="1" outlineLevel="1"/>
    <col min="37" max="37" width="15.6640625" style="1" customWidth="1" outlineLevel="1"/>
    <col min="38" max="38" width="13.33203125" style="1" customWidth="1" outlineLevel="1"/>
    <col min="39" max="39" width="15.6640625" style="1" customWidth="1" outlineLevel="1"/>
    <col min="40" max="40" width="13.33203125" style="1" customWidth="1" outlineLevel="1"/>
    <col min="41" max="41" width="15.6640625" style="1" customWidth="1" outlineLevel="1"/>
    <col min="42" max="42" width="13.33203125" style="1" customWidth="1" outlineLevel="1"/>
    <col min="43" max="43" width="15.6640625" style="1" customWidth="1" outlineLevel="1"/>
    <col min="44" max="44" width="13.33203125" style="1" customWidth="1" outlineLevel="1"/>
    <col min="45" max="45" width="15.6640625" style="1" customWidth="1" outlineLevel="1"/>
    <col min="46" max="46" width="13.33203125" style="1" customWidth="1" outlineLevel="1"/>
    <col min="47" max="47" width="15.6640625" style="1" customWidth="1" outlineLevel="1"/>
    <col min="48" max="48" width="13.33203125" style="1" customWidth="1" outlineLevel="1"/>
    <col min="49" max="49" width="15.6640625" style="1" customWidth="1" outlineLevel="1"/>
    <col min="50" max="123" width="8.88671875" style="1" customWidth="1" outlineLevel="1"/>
    <col min="124" max="124" width="12.33203125" style="1" customWidth="1"/>
    <col min="125" max="125" width="13.33203125" style="1" customWidth="1"/>
    <col min="126" max="16384" width="8.88671875" style="1"/>
  </cols>
  <sheetData>
    <row r="2" spans="2:125">
      <c r="F2" s="52" t="s">
        <v>171</v>
      </c>
      <c r="G2" s="52" t="s">
        <v>172</v>
      </c>
      <c r="H2" s="52" t="s">
        <v>173</v>
      </c>
    </row>
    <row r="3" spans="2:125">
      <c r="F3" s="102" t="str">
        <f>IF('財産処分報告(災害)用'!$K$3="","-",'財産処分報告(災害)用'!$K$3)</f>
        <v>-</v>
      </c>
      <c r="G3" s="102" t="str">
        <f>IF('財産処分報告(災害)用'!$L$3="","-",'財産処分報告(災害)用'!$L$3)</f>
        <v>-</v>
      </c>
      <c r="H3" s="102" t="str">
        <f>IF('財産処分報告(災害)用'!$M$3="","-",'財産処分報告(災害)用'!$M$3)</f>
        <v>-</v>
      </c>
      <c r="M3" s="111"/>
      <c r="N3" s="111"/>
      <c r="O3" s="111"/>
      <c r="P3" s="111"/>
      <c r="Q3" s="111"/>
      <c r="R3" s="112"/>
      <c r="S3" s="58" t="s">
        <v>174</v>
      </c>
      <c r="T3" s="59"/>
      <c r="U3" s="59"/>
      <c r="V3" s="59"/>
      <c r="W3" s="105"/>
      <c r="X3" s="58" t="s">
        <v>175</v>
      </c>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63" t="s">
        <v>176</v>
      </c>
      <c r="DU3" s="64"/>
    </row>
    <row r="4" spans="2:125" ht="30">
      <c r="B4" s="42"/>
      <c r="C4" s="42"/>
      <c r="D4" s="42"/>
      <c r="E4" s="42"/>
      <c r="F4" s="42"/>
      <c r="G4" s="42"/>
      <c r="H4" s="42"/>
      <c r="I4" s="42"/>
      <c r="J4" s="42"/>
      <c r="K4" s="42"/>
      <c r="L4" s="42"/>
      <c r="M4" s="113"/>
      <c r="N4" s="113"/>
      <c r="O4" s="113"/>
      <c r="P4" s="113"/>
      <c r="Q4" s="113"/>
      <c r="R4" s="114"/>
      <c r="S4" s="104" t="s">
        <v>177</v>
      </c>
      <c r="T4" s="108" t="s">
        <v>178</v>
      </c>
      <c r="U4" s="59"/>
      <c r="V4" s="105"/>
      <c r="W4" s="107"/>
      <c r="X4" s="97">
        <f>IF(V4="",1,V4+1)</f>
        <v>1</v>
      </c>
      <c r="Y4" s="62"/>
      <c r="Z4" s="97">
        <f>IF(X4="",1,X4+1)</f>
        <v>2</v>
      </c>
      <c r="AA4" s="62"/>
      <c r="AB4" s="97">
        <f>IF(Z4="",1,Z4+1)</f>
        <v>3</v>
      </c>
      <c r="AC4" s="62"/>
      <c r="AD4" s="97">
        <f>IF(AB4="",1,AB4+1)</f>
        <v>4</v>
      </c>
      <c r="AE4" s="62"/>
      <c r="AF4" s="97">
        <f>IF(AD4="",1,AD4+1)</f>
        <v>5</v>
      </c>
      <c r="AG4" s="62"/>
      <c r="AH4" s="97">
        <f>IF(AF4="",1,AF4+1)</f>
        <v>6</v>
      </c>
      <c r="AI4" s="62"/>
      <c r="AJ4" s="97">
        <f>IF(AH4="",1,AH4+1)</f>
        <v>7</v>
      </c>
      <c r="AK4" s="62"/>
      <c r="AL4" s="97">
        <f>IF(AJ4="",1,AJ4+1)</f>
        <v>8</v>
      </c>
      <c r="AM4" s="62"/>
      <c r="AN4" s="97">
        <f>IF(AL4="",1,AL4+1)</f>
        <v>9</v>
      </c>
      <c r="AO4" s="62"/>
      <c r="AP4" s="97">
        <f>IF(AN4="",1,AN4+1)</f>
        <v>10</v>
      </c>
      <c r="AQ4" s="62"/>
      <c r="AR4" s="97">
        <f>IF(AP4="",1,AP4+1)</f>
        <v>11</v>
      </c>
      <c r="AS4" s="62"/>
      <c r="AT4" s="97">
        <f>IF(AR4="",1,AR4+1)</f>
        <v>12</v>
      </c>
      <c r="AU4" s="62"/>
      <c r="AV4" s="97">
        <f>IF(AT4="",1,AT4+1)</f>
        <v>13</v>
      </c>
      <c r="AW4" s="62"/>
      <c r="AX4" s="97">
        <f>IF(AV4="",1,AV4+1)</f>
        <v>14</v>
      </c>
      <c r="AY4" s="62"/>
      <c r="AZ4" s="97">
        <f>IF(AX4="",1,AX4+1)</f>
        <v>15</v>
      </c>
      <c r="BA4" s="62"/>
      <c r="BB4" s="97">
        <f>IF(AZ4="",1,AZ4+1)</f>
        <v>16</v>
      </c>
      <c r="BC4" s="62"/>
      <c r="BD4" s="97">
        <f>IF(BB4="",1,BB4+1)</f>
        <v>17</v>
      </c>
      <c r="BE4" s="62"/>
      <c r="BF4" s="97">
        <f>IF(BD4="",1,BD4+1)</f>
        <v>18</v>
      </c>
      <c r="BG4" s="62"/>
      <c r="BH4" s="97">
        <f>IF(BF4="",1,BF4+1)</f>
        <v>19</v>
      </c>
      <c r="BI4" s="62"/>
      <c r="BJ4" s="97">
        <f>IF(BH4="",1,BH4+1)</f>
        <v>20</v>
      </c>
      <c r="BK4" s="62"/>
      <c r="BL4" s="97">
        <f>IF(BJ4="",1,BJ4+1)</f>
        <v>21</v>
      </c>
      <c r="BM4" s="62"/>
      <c r="BN4" s="97">
        <f>IF(BL4="",1,BL4+1)</f>
        <v>22</v>
      </c>
      <c r="BO4" s="62"/>
      <c r="BP4" s="97">
        <f>IF(BN4="",1,BN4+1)</f>
        <v>23</v>
      </c>
      <c r="BQ4" s="62"/>
      <c r="BR4" s="97">
        <f>IF(BP4="",1,BP4+1)</f>
        <v>24</v>
      </c>
      <c r="BS4" s="62"/>
      <c r="BT4" s="97">
        <f>IF(BR4="",1,BR4+1)</f>
        <v>25</v>
      </c>
      <c r="BU4" s="62"/>
      <c r="BV4" s="97">
        <f>IF(BT4="",1,BT4+1)</f>
        <v>26</v>
      </c>
      <c r="BW4" s="62"/>
      <c r="BX4" s="97">
        <f>IF(BV4="",1,BV4+1)</f>
        <v>27</v>
      </c>
      <c r="BY4" s="62"/>
      <c r="BZ4" s="97">
        <f>IF(BX4="",1,BX4+1)</f>
        <v>28</v>
      </c>
      <c r="CA4" s="62"/>
      <c r="CB4" s="97">
        <f>IF(BZ4="",1,BZ4+1)</f>
        <v>29</v>
      </c>
      <c r="CC4" s="62"/>
      <c r="CD4" s="97">
        <f>IF(CB4="",1,CB4+1)</f>
        <v>30</v>
      </c>
      <c r="CE4" s="62"/>
      <c r="CF4" s="97">
        <f>IF(CD4="",1,CD4+1)</f>
        <v>31</v>
      </c>
      <c r="CG4" s="62"/>
      <c r="CH4" s="97">
        <f>IF(CF4="",1,CF4+1)</f>
        <v>32</v>
      </c>
      <c r="CI4" s="62"/>
      <c r="CJ4" s="97">
        <f>IF(CH4="",1,CH4+1)</f>
        <v>33</v>
      </c>
      <c r="CK4" s="62"/>
      <c r="CL4" s="97">
        <f>IF(CJ4="",1,CJ4+1)</f>
        <v>34</v>
      </c>
      <c r="CM4" s="62"/>
      <c r="CN4" s="97">
        <f>IF(CL4="",1,CL4+1)</f>
        <v>35</v>
      </c>
      <c r="CO4" s="62"/>
      <c r="CP4" s="97">
        <f>IF(CN4="",1,CN4+1)</f>
        <v>36</v>
      </c>
      <c r="CQ4" s="62"/>
      <c r="CR4" s="97">
        <f>IF(CP4="",1,CP4+1)</f>
        <v>37</v>
      </c>
      <c r="CS4" s="62"/>
      <c r="CT4" s="97">
        <f>IF(CR4="",1,CR4+1)</f>
        <v>38</v>
      </c>
      <c r="CU4" s="62"/>
      <c r="CV4" s="97">
        <f>IF(CT4="",1,CT4+1)</f>
        <v>39</v>
      </c>
      <c r="CW4" s="62"/>
      <c r="CX4" s="97">
        <f>IF(CV4="",1,CV4+1)</f>
        <v>40</v>
      </c>
      <c r="CY4" s="62"/>
      <c r="CZ4" s="97">
        <f>IF(CX4="",1,CX4+1)</f>
        <v>41</v>
      </c>
      <c r="DA4" s="62"/>
      <c r="DB4" s="97">
        <f>IF(CZ4="",1,CZ4+1)</f>
        <v>42</v>
      </c>
      <c r="DC4" s="62"/>
      <c r="DD4" s="97">
        <f>IF(DB4="",1,DB4+1)</f>
        <v>43</v>
      </c>
      <c r="DE4" s="62"/>
      <c r="DF4" s="97">
        <f>IF(DD4="",1,DD4+1)</f>
        <v>44</v>
      </c>
      <c r="DG4" s="62"/>
      <c r="DH4" s="97">
        <f>IF(DF4="",1,DF4+1)</f>
        <v>45</v>
      </c>
      <c r="DI4" s="62"/>
      <c r="DJ4" s="97">
        <f>IF(DH4="",1,DH4+1)</f>
        <v>46</v>
      </c>
      <c r="DK4" s="62"/>
      <c r="DL4" s="97">
        <f>IF(DJ4="",1,DJ4+1)</f>
        <v>47</v>
      </c>
      <c r="DM4" s="62"/>
      <c r="DN4" s="97">
        <f>IF(DL4="",1,DL4+1)</f>
        <v>48</v>
      </c>
      <c r="DO4" s="62"/>
      <c r="DP4" s="97">
        <f>IF(DN4="",1,DN4+1)</f>
        <v>49</v>
      </c>
      <c r="DQ4" s="62"/>
      <c r="DR4" s="97">
        <f>IF(DP4="",1,DP4+1)</f>
        <v>50</v>
      </c>
      <c r="DS4" s="62"/>
      <c r="DT4" s="60" t="s">
        <v>179</v>
      </c>
      <c r="DU4" s="60" t="s">
        <v>180</v>
      </c>
    </row>
    <row r="5" spans="2:125" ht="45">
      <c r="B5" s="51" t="s">
        <v>106</v>
      </c>
      <c r="C5" s="52" t="s">
        <v>181</v>
      </c>
      <c r="D5" s="52" t="s">
        <v>182</v>
      </c>
      <c r="E5" s="52" t="s">
        <v>183</v>
      </c>
      <c r="F5" s="52" t="s">
        <v>184</v>
      </c>
      <c r="G5" s="52" t="s">
        <v>185</v>
      </c>
      <c r="H5" s="52" t="s">
        <v>186</v>
      </c>
      <c r="I5" s="53" t="s">
        <v>187</v>
      </c>
      <c r="J5" s="53" t="s">
        <v>188</v>
      </c>
      <c r="K5" s="53" t="s">
        <v>189</v>
      </c>
      <c r="L5" s="53" t="s">
        <v>190</v>
      </c>
      <c r="M5" s="106" t="s">
        <v>191</v>
      </c>
      <c r="N5" s="106" t="s">
        <v>192</v>
      </c>
      <c r="O5" s="106" t="s">
        <v>193</v>
      </c>
      <c r="P5" s="106" t="s">
        <v>194</v>
      </c>
      <c r="Q5" s="106" t="s">
        <v>195</v>
      </c>
      <c r="R5" s="106" t="s">
        <v>196</v>
      </c>
      <c r="S5" s="104" t="s">
        <v>197</v>
      </c>
      <c r="T5" s="104" t="s">
        <v>198</v>
      </c>
      <c r="U5" s="104" t="s">
        <v>199</v>
      </c>
      <c r="V5" s="104" t="s">
        <v>200</v>
      </c>
      <c r="W5" s="109" t="s">
        <v>201</v>
      </c>
      <c r="X5" s="53" t="s">
        <v>202</v>
      </c>
      <c r="Y5" s="53" t="s">
        <v>203</v>
      </c>
      <c r="Z5" s="53" t="s">
        <v>202</v>
      </c>
      <c r="AA5" s="53" t="s">
        <v>203</v>
      </c>
      <c r="AB5" s="53" t="s">
        <v>202</v>
      </c>
      <c r="AC5" s="53" t="s">
        <v>203</v>
      </c>
      <c r="AD5" s="53" t="s">
        <v>202</v>
      </c>
      <c r="AE5" s="53" t="s">
        <v>203</v>
      </c>
      <c r="AF5" s="53" t="s">
        <v>202</v>
      </c>
      <c r="AG5" s="53" t="s">
        <v>203</v>
      </c>
      <c r="AH5" s="53" t="s">
        <v>202</v>
      </c>
      <c r="AI5" s="53" t="s">
        <v>203</v>
      </c>
      <c r="AJ5" s="53" t="s">
        <v>202</v>
      </c>
      <c r="AK5" s="53" t="s">
        <v>203</v>
      </c>
      <c r="AL5" s="53" t="s">
        <v>202</v>
      </c>
      <c r="AM5" s="53" t="s">
        <v>203</v>
      </c>
      <c r="AN5" s="53" t="s">
        <v>202</v>
      </c>
      <c r="AO5" s="53" t="s">
        <v>203</v>
      </c>
      <c r="AP5" s="53" t="s">
        <v>202</v>
      </c>
      <c r="AQ5" s="53" t="s">
        <v>203</v>
      </c>
      <c r="AR5" s="53" t="s">
        <v>202</v>
      </c>
      <c r="AS5" s="53" t="s">
        <v>203</v>
      </c>
      <c r="AT5" s="53" t="s">
        <v>202</v>
      </c>
      <c r="AU5" s="53" t="s">
        <v>203</v>
      </c>
      <c r="AV5" s="53" t="s">
        <v>202</v>
      </c>
      <c r="AW5" s="53" t="s">
        <v>203</v>
      </c>
      <c r="AX5" s="53" t="s">
        <v>202</v>
      </c>
      <c r="AY5" s="53" t="s">
        <v>203</v>
      </c>
      <c r="AZ5" s="53" t="s">
        <v>202</v>
      </c>
      <c r="BA5" s="53" t="s">
        <v>203</v>
      </c>
      <c r="BB5" s="53" t="s">
        <v>202</v>
      </c>
      <c r="BC5" s="53" t="s">
        <v>203</v>
      </c>
      <c r="BD5" s="53" t="s">
        <v>202</v>
      </c>
      <c r="BE5" s="53" t="s">
        <v>203</v>
      </c>
      <c r="BF5" s="53" t="s">
        <v>202</v>
      </c>
      <c r="BG5" s="53" t="s">
        <v>203</v>
      </c>
      <c r="BH5" s="53" t="s">
        <v>202</v>
      </c>
      <c r="BI5" s="53" t="s">
        <v>203</v>
      </c>
      <c r="BJ5" s="53" t="s">
        <v>202</v>
      </c>
      <c r="BK5" s="53" t="s">
        <v>203</v>
      </c>
      <c r="BL5" s="53" t="s">
        <v>202</v>
      </c>
      <c r="BM5" s="53" t="s">
        <v>203</v>
      </c>
      <c r="BN5" s="53" t="s">
        <v>202</v>
      </c>
      <c r="BO5" s="53" t="s">
        <v>203</v>
      </c>
      <c r="BP5" s="53" t="s">
        <v>202</v>
      </c>
      <c r="BQ5" s="53" t="s">
        <v>203</v>
      </c>
      <c r="BR5" s="53" t="s">
        <v>202</v>
      </c>
      <c r="BS5" s="53" t="s">
        <v>203</v>
      </c>
      <c r="BT5" s="53" t="s">
        <v>202</v>
      </c>
      <c r="BU5" s="53" t="s">
        <v>203</v>
      </c>
      <c r="BV5" s="53" t="s">
        <v>202</v>
      </c>
      <c r="BW5" s="53" t="s">
        <v>203</v>
      </c>
      <c r="BX5" s="53" t="s">
        <v>202</v>
      </c>
      <c r="BY5" s="53" t="s">
        <v>203</v>
      </c>
      <c r="BZ5" s="53" t="s">
        <v>202</v>
      </c>
      <c r="CA5" s="53" t="s">
        <v>203</v>
      </c>
      <c r="CB5" s="53" t="s">
        <v>202</v>
      </c>
      <c r="CC5" s="53" t="s">
        <v>203</v>
      </c>
      <c r="CD5" s="53" t="s">
        <v>202</v>
      </c>
      <c r="CE5" s="53" t="s">
        <v>203</v>
      </c>
      <c r="CF5" s="53" t="s">
        <v>202</v>
      </c>
      <c r="CG5" s="53" t="s">
        <v>203</v>
      </c>
      <c r="CH5" s="53" t="s">
        <v>202</v>
      </c>
      <c r="CI5" s="53" t="s">
        <v>203</v>
      </c>
      <c r="CJ5" s="53" t="s">
        <v>202</v>
      </c>
      <c r="CK5" s="53" t="s">
        <v>203</v>
      </c>
      <c r="CL5" s="53" t="s">
        <v>202</v>
      </c>
      <c r="CM5" s="53" t="s">
        <v>203</v>
      </c>
      <c r="CN5" s="53" t="s">
        <v>202</v>
      </c>
      <c r="CO5" s="53" t="s">
        <v>203</v>
      </c>
      <c r="CP5" s="53" t="s">
        <v>202</v>
      </c>
      <c r="CQ5" s="53" t="s">
        <v>203</v>
      </c>
      <c r="CR5" s="53" t="s">
        <v>202</v>
      </c>
      <c r="CS5" s="53" t="s">
        <v>203</v>
      </c>
      <c r="CT5" s="53" t="s">
        <v>202</v>
      </c>
      <c r="CU5" s="53" t="s">
        <v>203</v>
      </c>
      <c r="CV5" s="53" t="s">
        <v>202</v>
      </c>
      <c r="CW5" s="53" t="s">
        <v>203</v>
      </c>
      <c r="CX5" s="53" t="s">
        <v>202</v>
      </c>
      <c r="CY5" s="53" t="s">
        <v>203</v>
      </c>
      <c r="CZ5" s="53" t="s">
        <v>202</v>
      </c>
      <c r="DA5" s="53" t="s">
        <v>203</v>
      </c>
      <c r="DB5" s="53" t="s">
        <v>202</v>
      </c>
      <c r="DC5" s="53" t="s">
        <v>203</v>
      </c>
      <c r="DD5" s="53" t="s">
        <v>202</v>
      </c>
      <c r="DE5" s="53" t="s">
        <v>203</v>
      </c>
      <c r="DF5" s="53" t="s">
        <v>202</v>
      </c>
      <c r="DG5" s="53" t="s">
        <v>203</v>
      </c>
      <c r="DH5" s="53" t="s">
        <v>202</v>
      </c>
      <c r="DI5" s="53" t="s">
        <v>203</v>
      </c>
      <c r="DJ5" s="53" t="s">
        <v>202</v>
      </c>
      <c r="DK5" s="53" t="s">
        <v>203</v>
      </c>
      <c r="DL5" s="53" t="s">
        <v>202</v>
      </c>
      <c r="DM5" s="53" t="s">
        <v>203</v>
      </c>
      <c r="DN5" s="53" t="s">
        <v>202</v>
      </c>
      <c r="DO5" s="53" t="s">
        <v>203</v>
      </c>
      <c r="DP5" s="53" t="s">
        <v>202</v>
      </c>
      <c r="DQ5" s="53" t="s">
        <v>203</v>
      </c>
      <c r="DR5" s="53" t="s">
        <v>202</v>
      </c>
      <c r="DS5" s="53" t="s">
        <v>203</v>
      </c>
      <c r="DT5" s="61"/>
      <c r="DU5" s="61"/>
    </row>
    <row r="6" spans="2:125">
      <c r="B6" s="54">
        <v>1</v>
      </c>
      <c r="C6" s="55" t="str">
        <f>IF('財産処分報告(災害)用'!$C6="","-",'財産処分報告(災害)用'!$C6)</f>
        <v>-</v>
      </c>
      <c r="D6" s="55" t="str">
        <f>'財産処分報告(災害)用'!$E6</f>
        <v>-</v>
      </c>
      <c r="E6" s="56" t="str">
        <f>IF('財産処分報告(災害)用'!$J6="","-",'財産処分報告(災害)用'!$J6)</f>
        <v>-</v>
      </c>
      <c r="F6" s="101" t="str">
        <f>IF('財産処分報告(災害)用'!$K6="","-",'財産処分報告(災害)用'!$K6)</f>
        <v>-</v>
      </c>
      <c r="G6" s="101" t="str">
        <f>IF('財産処分報告(災害)用'!$L6="","-",'財産処分報告(災害)用'!$L6)</f>
        <v>-</v>
      </c>
      <c r="H6" s="55" t="str">
        <f>IF('財産処分報告(災害)用'!$M6="","-",'財産処分報告(災害)用'!$M6)</f>
        <v>-</v>
      </c>
      <c r="I6" s="55" t="str">
        <f>IF(OR($D6="-",$H6="-"),"-",INDEX(リスト!$AG$2:$AI$101,MATCH($D6,リスト!$AG$2:$AG$101,0),MATCH($H6,リスト!$AG$2:$AI$2,0)))</f>
        <v>-</v>
      </c>
      <c r="J6" s="55" t="str">
        <f>IF(OR($D6="-",$H6="-"),"-",IF($H6=リスト!$AA$4,"-",INDEX(リスト!$AG$2:$AK$101,MATCH($D6,リスト!$AG$2:$AG$101,0),4)))</f>
        <v>-</v>
      </c>
      <c r="K6" s="55" t="str">
        <f>IF(OR($D6="-",$H6="-"),"-",IF($H6=リスト!$AA$4,"-",INDEX(リスト!$AG$2:$AK$101,MATCH($D6,リスト!$AG$2:$AG$101,0),5)))</f>
        <v>-</v>
      </c>
      <c r="L6" s="56" t="str">
        <f t="shared" ref="L6:L25" si="0">IF(OR($E6="-",$K6="-"),"-",$E6*$K6)</f>
        <v>-</v>
      </c>
      <c r="M6" s="101" t="str">
        <f>IF(OR($F6="-",$G6="-",$F$3="-"),"-",
   IF($G$3="-",
   IF($F6&lt;=DATE(YEAR($F6),$F$3+1,0),DATE(YEAR($F6),$F$3+1,0),DATE(YEAR($F6)+1,$F$3+1,0)),
   IF($F6&lt;=DATE(YEAR($F6),$F$3,$G$3),DATE(YEAR($F6),$F$3,$G$3),DATE(YEAR($F6)+1,$F$3,$G$3))
))</f>
        <v>-</v>
      </c>
      <c r="N6" s="101" t="str">
        <f>IF(OR($F6="-",$G6="-",$F$3="-"),"-",
   IF($G$3="-",
   IF($G6&lt;=DATE(YEAR($G6),$F$3+1,0),DATE(YEAR($G6),$F$3+1,0),DATE(YEAR($G6)+1,$F$3+1,0)),
   IF($G6&lt;=DATE(YEAR($G6),$F$3,$G$3),DATE(YEAR($G6),$F$3,$G$3),DATE(YEAR($G6)+1,$F$3,$G$3))
))</f>
        <v>-</v>
      </c>
      <c r="O6" s="101" t="str">
        <f>IF(OR($F6="-",$G6="-",$F$3="-"),"-",
   IF($G$3="-",
   DATE(YEAR($N6)-1,$F$3+1,0)+1,
   DATE(YEAR($N6)-1,$F$3,$G$3)+1
))</f>
        <v>-</v>
      </c>
      <c r="P6" s="102" t="str">
        <f>IF($C6="-","-",
 (YEAR($G6)+IF($G$3="-",
   IF(MONTH($G6)&gt;$F$3,1,0),
   IF(OR(MONTH($G6)&gt;$F$3,AND(MONTH($G6)=$F$3,DAY($G6)&gt;$G$3)),1,0)
 ))
 -(YEAR($F6)+IF($G$3="-",
   IF(MONTH($F6)&gt;$F$3,1,0),
   IF(OR(MONTH($F6)&gt;$F$3,AND(MONTH($F6)=$F$3,DAY($F6)&gt;$G$3)),1,0)
 ))
 +1
)</f>
        <v>-</v>
      </c>
      <c r="Q6" s="115" t="str">
        <f>IF($C6="-","-",
 $M6-IF($G$3="-",
        DATE(YEAR($M6)-1,$F$3+1,0),
        DATE(YEAR($M6)-1,$F$3,$G$3)
))</f>
        <v>-</v>
      </c>
      <c r="R6" s="116" t="str">
        <f>IF($C6="-","-",
 $N6-$O6+1
)</f>
        <v>-</v>
      </c>
      <c r="S6" s="102" t="str">
        <f>IF(OR($F6="-",$G6="-",$F$3="-"),"-",
   MAX(0,12*(YEAR($G6)-YEAR($F6))+MONTH($G6)-MONTH($F6)+IF(DAY($G6)&gt;=DAY($F6),1,0))
)</f>
        <v>-</v>
      </c>
      <c r="T6" s="102" t="str">
        <f>IF(OR($F6="-",$G6="-",$F$3="-"),"-",
   MAX(0,12*(YEAR($M6)-YEAR($F6))+MONTH($M6)-MONTH($F6)+IF(DAY($M6)&gt;=DAY($F6),1,0))
)</f>
        <v>-</v>
      </c>
      <c r="U6" s="102" t="str">
        <f>IF(OR($F6="-",$G6="-",$F$3="-"),"-",
   MAX(0,12*(YEAR($G6)-YEAR($O6))+MONTH($G6)-MONTH($O6)+IF(DAY($G6)&gt;=DAY($O6),1,0))
)</f>
        <v>-</v>
      </c>
      <c r="V6" s="102" t="str">
        <f>IF(OR($F6="-",$G6="-",$F$3="-"),"-",
   MAX(0,YEAR($N6)-YEAR($M6)-1)*12
)</f>
        <v>-</v>
      </c>
      <c r="W6" s="55" t="str">
        <f>IF(OR($F6="-",$G6="-",$F$3="-"),"-",
   IF(OR($F6="-",$G6="-",$G6&lt;$F6),"-",
   IF($M6=$N6,$S6,$T6+$V6+$U6)
))</f>
        <v>-</v>
      </c>
      <c r="X6" s="56" t="str">
        <f ca="1">IF($H6=リスト!$AA$4,"-",
   IF($C6="-","-",
     IF(X$4&gt;$P6,"-",
       IF(X$4=1,$E6,OFFSET(X6,0,-2)-OFFSET(X6,0,-1)
))))</f>
        <v>-</v>
      </c>
      <c r="Y6" s="57" t="str">
        <f>IF($H6=リスト!$AA$4,"-",
 IF($C6="-","-",
  IF(X$4&gt;$P6,"-",
   CHOOSE(MATCH($H$3,リスト!$AE$3:$AE$5,0),
    ROUNDUP(
      X6*IF(X6*$I6&lt;=$L6,$J6,$I6)*
      IF($P6=1,
         $S6/12,
         IF(X$4=1,
            $T6/12,
            IF(X$4=$P6,
               $U6/12,
               1
      ))),0),
    ROUNDDOWN(
      X6*IF(X6*$I6&lt;=$L6,$J6,$I6)*
      IF($P6=1,
         $S6/12,
         IF(X$4=1,
            $T6/12,
            IF(X$4=$P6,
               $U6/12,
               1
      ))),0),
    ROUND(
      X6*IF(X6*$I6&lt;=$L6,$J6,$I6)*
      IF($P6=1,
         $S6/12,
         IF(X$4=1,
            $T6/12,
            IF(X$4=$P6,
               $U6/12,
               1
      ))),0)
))))</f>
        <v>-</v>
      </c>
      <c r="Z6" s="56" t="str">
        <f ca="1">IF($H6=リスト!$AA$4,"-",
   IF($C6="-","-",
     IF(Z$4&gt;$P6,"-",
       IF(Z$4=1,$E6,OFFSET(Z6,0,-2)-OFFSET(Z6,0,-1)
))))</f>
        <v>-</v>
      </c>
      <c r="AA6" s="57" t="str">
        <f>IF($H6=リスト!$AA$4,"-",
 IF($C6="-","-",
  IF(Z$4&gt;$P6,"-",
   CHOOSE(MATCH($H$3,リスト!$AE$3:$AE$5,0),
    ROUNDUP(
      Z6*IF(Z6*$I6&lt;=$L6,$J6,$I6)*
      IF($P6=1,
         $S6/12,
         IF(Z$4=1,
            $T6/12,
            IF(Z$4=$P6,
               $U6/12,
               1
      ))),0),
    ROUNDDOWN(
      Z6*IF(Z6*$I6&lt;=$L6,$J6,$I6)*
      IF($P6=1,
         $S6/12,
         IF(Z$4=1,
            $T6/12,
            IF(Z$4=$P6,
               $U6/12,
               1
      ))),0),
    ROUND(
      Z6*IF(Z6*$I6&lt;=$L6,$J6,$I6)*
      IF($P6=1,
         $S6/12,
         IF(Z$4=1,
            $T6/12,
            IF(Z$4=$P6,
               $U6/12,
               1
      ))),0)
))))</f>
        <v>-</v>
      </c>
      <c r="AB6" s="56" t="str">
        <f ca="1">IF($H6=リスト!$AA$4,"-",
   IF($C6="-","-",
     IF(AB$4&gt;$P6,"-",
       IF(AB$4=1,$E6,OFFSET(AB6,0,-2)-OFFSET(AB6,0,-1)
))))</f>
        <v>-</v>
      </c>
      <c r="AC6" s="57" t="str">
        <f>IF($H6=リスト!$AA$4,"-",
 IF($C6="-","-",
  IF(AB$4&gt;$P6,"-",
   CHOOSE(MATCH($H$3,リスト!$AE$3:$AE$5,0),
    ROUNDUP(
      AB6*IF(AB6*$I6&lt;=$L6,$J6,$I6)*
      IF($P6=1,
         $S6/12,
         IF(AB$4=1,
            $T6/12,
            IF(AB$4=$P6,
               $U6/12,
               1
      ))),0),
    ROUNDDOWN(
      AB6*IF(AB6*$I6&lt;=$L6,$J6,$I6)*
      IF($P6=1,
         $S6/12,
         IF(AB$4=1,
            $T6/12,
            IF(AB$4=$P6,
               $U6/12,
               1
      ))),0),
    ROUND(
      AB6*IF(AB6*$I6&lt;=$L6,$J6,$I6)*
      IF($P6=1,
         $S6/12,
         IF(AB$4=1,
            $T6/12,
            IF(AB$4=$P6,
               $U6/12,
               1
      ))),0)
))))</f>
        <v>-</v>
      </c>
      <c r="AD6" s="56" t="str">
        <f ca="1">IF($H6=リスト!$AA$4,"-",
   IF($C6="-","-",
     IF(AD$4&gt;$P6,"-",
       IF(AD$4=1,$E6,OFFSET(AD6,0,-2)-OFFSET(AD6,0,-1)
))))</f>
        <v>-</v>
      </c>
      <c r="AE6" s="57" t="str">
        <f>IF($H6=リスト!$AA$4,"-",
 IF($C6="-","-",
  IF(AD$4&gt;$P6,"-",
   CHOOSE(MATCH($H$3,リスト!$AE$3:$AE$5,0),
    ROUNDUP(
      AD6*IF(AD6*$I6&lt;=$L6,$J6,$I6)*
      IF($P6=1,
         $S6/12,
         IF(AD$4=1,
            $T6/12,
            IF(AD$4=$P6,
               $U6/12,
               1
      ))),0),
    ROUNDDOWN(
      AD6*IF(AD6*$I6&lt;=$L6,$J6,$I6)*
      IF($P6=1,
         $S6/12,
         IF(AD$4=1,
            $T6/12,
            IF(AD$4=$P6,
               $U6/12,
               1
      ))),0),
    ROUND(
      AD6*IF(AD6*$I6&lt;=$L6,$J6,$I6)*
      IF($P6=1,
         $S6/12,
         IF(AD$4=1,
            $T6/12,
            IF(AD$4=$P6,
               $U6/12,
               1
      ))),0)
))))</f>
        <v>-</v>
      </c>
      <c r="AF6" s="56" t="str">
        <f ca="1">IF($H6=リスト!$AA$4,"-",
   IF($C6="-","-",
     IF(AF$4&gt;$P6,"-",
       IF(AF$4=1,$E6,OFFSET(AF6,0,-2)-OFFSET(AF6,0,-1)
))))</f>
        <v>-</v>
      </c>
      <c r="AG6" s="57" t="str">
        <f>IF($H6=リスト!$AA$4,"-",
 IF($C6="-","-",
  IF(AF$4&gt;$P6,"-",
   CHOOSE(MATCH($H$3,リスト!$AE$3:$AE$5,0),
    ROUNDUP(
      AF6*IF(AF6*$I6&lt;=$L6,$J6,$I6)*
      IF($P6=1,
         $S6/12,
         IF(AF$4=1,
            $T6/12,
            IF(AF$4=$P6,
               $U6/12,
               1
      ))),0),
    ROUNDDOWN(
      AF6*IF(AF6*$I6&lt;=$L6,$J6,$I6)*
      IF($P6=1,
         $S6/12,
         IF(AF$4=1,
            $T6/12,
            IF(AF$4=$P6,
               $U6/12,
               1
      ))),0),
    ROUND(
      AF6*IF(AF6*$I6&lt;=$L6,$J6,$I6)*
      IF($P6=1,
         $S6/12,
         IF(AF$4=1,
            $T6/12,
            IF(AF$4=$P6,
               $U6/12,
               1
      ))),0)
))))</f>
        <v>-</v>
      </c>
      <c r="AH6" s="56" t="str">
        <f ca="1">IF($H6=リスト!$AA$4,"-",
   IF($C6="-","-",
     IF(AH$4&gt;$P6,"-",
       IF(AH$4=1,$E6,OFFSET(AH6,0,-2)-OFFSET(AH6,0,-1)
))))</f>
        <v>-</v>
      </c>
      <c r="AI6" s="57" t="str">
        <f>IF($H6=リスト!$AA$4,"-",
 IF($C6="-","-",
  IF(AH$4&gt;$P6,"-",
   CHOOSE(MATCH($H$3,リスト!$AE$3:$AE$5,0),
    ROUNDUP(
      AH6*IF(AH6*$I6&lt;=$L6,$J6,$I6)*
      IF($P6=1,
         $S6/12,
         IF(AH$4=1,
            $T6/12,
            IF(AH$4=$P6,
               $U6/12,
               1
      ))),0),
    ROUNDDOWN(
      AH6*IF(AH6*$I6&lt;=$L6,$J6,$I6)*
      IF($P6=1,
         $S6/12,
         IF(AH$4=1,
            $T6/12,
            IF(AH$4=$P6,
               $U6/12,
               1
      ))),0),
    ROUND(
      AH6*IF(AH6*$I6&lt;=$L6,$J6,$I6)*
      IF($P6=1,
         $S6/12,
         IF(AH$4=1,
            $T6/12,
            IF(AH$4=$P6,
               $U6/12,
               1
      ))),0)
))))</f>
        <v>-</v>
      </c>
      <c r="AJ6" s="56" t="str">
        <f ca="1">IF($H6=リスト!$AA$4,"-",
   IF($C6="-","-",
     IF(AJ$4&gt;$P6,"-",
       IF(AJ$4=1,$E6,OFFSET(AJ6,0,-2)-OFFSET(AJ6,0,-1)
))))</f>
        <v>-</v>
      </c>
      <c r="AK6" s="57" t="str">
        <f>IF($H6=リスト!$AA$4,"-",
 IF($C6="-","-",
  IF(AJ$4&gt;$P6,"-",
   CHOOSE(MATCH($H$3,リスト!$AE$3:$AE$5,0),
    ROUNDUP(
      AJ6*IF(AJ6*$I6&lt;=$L6,$J6,$I6)*
      IF($P6=1,
         $S6/12,
         IF(AJ$4=1,
            $T6/12,
            IF(AJ$4=$P6,
               $U6/12,
               1
      ))),0),
    ROUNDDOWN(
      AJ6*IF(AJ6*$I6&lt;=$L6,$J6,$I6)*
      IF($P6=1,
         $S6/12,
         IF(AJ$4=1,
            $T6/12,
            IF(AJ$4=$P6,
               $U6/12,
               1
      ))),0),
    ROUND(
      AJ6*IF(AJ6*$I6&lt;=$L6,$J6,$I6)*
      IF($P6=1,
         $S6/12,
         IF(AJ$4=1,
            $T6/12,
            IF(AJ$4=$P6,
               $U6/12,
               1
      ))),0)
))))</f>
        <v>-</v>
      </c>
      <c r="AL6" s="56" t="str">
        <f ca="1">IF($H6=リスト!$AA$4,"-",
   IF($C6="-","-",
     IF(AL$4&gt;$P6,"-",
       IF(AL$4=1,$E6,OFFSET(AL6,0,-2)-OFFSET(AL6,0,-1)
))))</f>
        <v>-</v>
      </c>
      <c r="AM6" s="57" t="str">
        <f>IF($H6=リスト!$AA$4,"-",
 IF($C6="-","-",
  IF(AL$4&gt;$P6,"-",
   CHOOSE(MATCH($H$3,リスト!$AE$3:$AE$5,0),
    ROUNDUP(
      AL6*IF(AL6*$I6&lt;=$L6,$J6,$I6)*
      IF($P6=1,
         $S6/12,
         IF(AL$4=1,
            $T6/12,
            IF(AL$4=$P6,
               $U6/12,
               1
      ))),0),
    ROUNDDOWN(
      AL6*IF(AL6*$I6&lt;=$L6,$J6,$I6)*
      IF($P6=1,
         $S6/12,
         IF(AL$4=1,
            $T6/12,
            IF(AL$4=$P6,
               $U6/12,
               1
      ))),0),
    ROUND(
      AL6*IF(AL6*$I6&lt;=$L6,$J6,$I6)*
      IF($P6=1,
         $S6/12,
         IF(AL$4=1,
            $T6/12,
            IF(AL$4=$P6,
               $U6/12,
               1
      ))),0)
))))</f>
        <v>-</v>
      </c>
      <c r="AN6" s="56" t="str">
        <f ca="1">IF($H6=リスト!$AA$4,"-",
   IF($C6="-","-",
     IF(AN$4&gt;$P6,"-",
       IF(AN$4=1,$E6,OFFSET(AN6,0,-2)-OFFSET(AN6,0,-1)
))))</f>
        <v>-</v>
      </c>
      <c r="AO6" s="57" t="str">
        <f>IF($H6=リスト!$AA$4,"-",
 IF($C6="-","-",
  IF(AN$4&gt;$P6,"-",
   CHOOSE(MATCH($H$3,リスト!$AE$3:$AE$5,0),
    ROUNDUP(
      AN6*IF(AN6*$I6&lt;=$L6,$J6,$I6)*
      IF($P6=1,
         $S6/12,
         IF(AN$4=1,
            $T6/12,
            IF(AN$4=$P6,
               $U6/12,
               1
      ))),0),
    ROUNDDOWN(
      AN6*IF(AN6*$I6&lt;=$L6,$J6,$I6)*
      IF($P6=1,
         $S6/12,
         IF(AN$4=1,
            $T6/12,
            IF(AN$4=$P6,
               $U6/12,
               1
      ))),0),
    ROUND(
      AN6*IF(AN6*$I6&lt;=$L6,$J6,$I6)*
      IF($P6=1,
         $S6/12,
         IF(AN$4=1,
            $T6/12,
            IF(AN$4=$P6,
               $U6/12,
               1
      ))),0)
))))</f>
        <v>-</v>
      </c>
      <c r="AP6" s="56" t="str">
        <f ca="1">IF($H6=リスト!$AA$4,"-",
   IF($C6="-","-",
     IF(AP$4&gt;$P6,"-",
       IF(AP$4=1,$E6,OFFSET(AP6,0,-2)-OFFSET(AP6,0,-1)
))))</f>
        <v>-</v>
      </c>
      <c r="AQ6" s="57" t="str">
        <f>IF($H6=リスト!$AA$4,"-",
 IF($C6="-","-",
  IF(AP$4&gt;$P6,"-",
   CHOOSE(MATCH($H$3,リスト!$AE$3:$AE$5,0),
    ROUNDUP(
      AP6*IF(AP6*$I6&lt;=$L6,$J6,$I6)*
      IF($P6=1,
         $S6/12,
         IF(AP$4=1,
            $T6/12,
            IF(AP$4=$P6,
               $U6/12,
               1
      ))),0),
    ROUNDDOWN(
      AP6*IF(AP6*$I6&lt;=$L6,$J6,$I6)*
      IF($P6=1,
         $S6/12,
         IF(AP$4=1,
            $T6/12,
            IF(AP$4=$P6,
               $U6/12,
               1
      ))),0),
    ROUND(
      AP6*IF(AP6*$I6&lt;=$L6,$J6,$I6)*
      IF($P6=1,
         $S6/12,
         IF(AP$4=1,
            $T6/12,
            IF(AP$4=$P6,
               $U6/12,
               1
      ))),0)
))))</f>
        <v>-</v>
      </c>
      <c r="AR6" s="56" t="str">
        <f ca="1">IF($H6=リスト!$AA$4,"-",
   IF($C6="-","-",
     IF(AR$4&gt;$P6,"-",
       IF(AR$4=1,$E6,OFFSET(AR6,0,-2)-OFFSET(AR6,0,-1)
))))</f>
        <v>-</v>
      </c>
      <c r="AS6" s="57" t="str">
        <f>IF($H6=リスト!$AA$4,"-",
 IF($C6="-","-",
  IF(AR$4&gt;$P6,"-",
   CHOOSE(MATCH($H$3,リスト!$AE$3:$AE$5,0),
    ROUNDUP(
      AR6*IF(AR6*$I6&lt;=$L6,$J6,$I6)*
      IF($P6=1,
         $S6/12,
         IF(AR$4=1,
            $T6/12,
            IF(AR$4=$P6,
               $U6/12,
               1
      ))),0),
    ROUNDDOWN(
      AR6*IF(AR6*$I6&lt;=$L6,$J6,$I6)*
      IF($P6=1,
         $S6/12,
         IF(AR$4=1,
            $T6/12,
            IF(AR$4=$P6,
               $U6/12,
               1
      ))),0),
    ROUND(
      AR6*IF(AR6*$I6&lt;=$L6,$J6,$I6)*
      IF($P6=1,
         $S6/12,
         IF(AR$4=1,
            $T6/12,
            IF(AR$4=$P6,
               $U6/12,
               1
      ))),0)
))))</f>
        <v>-</v>
      </c>
      <c r="AT6" s="56" t="str">
        <f ca="1">IF($H6=リスト!$AA$4,"-",
   IF($C6="-","-",
     IF(AT$4&gt;$P6,"-",
       IF(AT$4=1,$E6,OFFSET(AT6,0,-2)-OFFSET(AT6,0,-1)
))))</f>
        <v>-</v>
      </c>
      <c r="AU6" s="57" t="str">
        <f>IF($H6=リスト!$AA$4,"-",
 IF($C6="-","-",
  IF(AT$4&gt;$P6,"-",
   CHOOSE(MATCH($H$3,リスト!$AE$3:$AE$5,0),
    ROUNDUP(
      AT6*IF(AT6*$I6&lt;=$L6,$J6,$I6)*
      IF($P6=1,
         $S6/12,
         IF(AT$4=1,
            $T6/12,
            IF(AT$4=$P6,
               $U6/12,
               1
      ))),0),
    ROUNDDOWN(
      AT6*IF(AT6*$I6&lt;=$L6,$J6,$I6)*
      IF($P6=1,
         $S6/12,
         IF(AT$4=1,
            $T6/12,
            IF(AT$4=$P6,
               $U6/12,
               1
      ))),0),
    ROUND(
      AT6*IF(AT6*$I6&lt;=$L6,$J6,$I6)*
      IF($P6=1,
         $S6/12,
         IF(AT$4=1,
            $T6/12,
            IF(AT$4=$P6,
               $U6/12,
               1
      ))),0)
))))</f>
        <v>-</v>
      </c>
      <c r="AV6" s="56" t="str">
        <f ca="1">IF($H6=リスト!$AA$4,"-",
   IF($C6="-","-",
     IF(AV$4&gt;$P6,"-",
       IF(AV$4=1,$E6,OFFSET(AV6,0,-2)-OFFSET(AV6,0,-1)
))))</f>
        <v>-</v>
      </c>
      <c r="AW6" s="57" t="str">
        <f>IF($H6=リスト!$AA$4,"-",
 IF($C6="-","-",
  IF(AV$4&gt;$P6,"-",
   CHOOSE(MATCH($H$3,リスト!$AE$3:$AE$5,0),
    ROUNDUP(
      AV6*IF(AV6*$I6&lt;=$L6,$J6,$I6)*
      IF($P6=1,
         $S6/12,
         IF(AV$4=1,
            $T6/12,
            IF(AV$4=$P6,
               $U6/12,
               1
      ))),0),
    ROUNDDOWN(
      AV6*IF(AV6*$I6&lt;=$L6,$J6,$I6)*
      IF($P6=1,
         $S6/12,
         IF(AV$4=1,
            $T6/12,
            IF(AV$4=$P6,
               $U6/12,
               1
      ))),0),
    ROUND(
      AV6*IF(AV6*$I6&lt;=$L6,$J6,$I6)*
      IF($P6=1,
         $S6/12,
         IF(AV$4=1,
            $T6/12,
            IF(AV$4=$P6,
               $U6/12,
               1
      ))),0)
))))</f>
        <v>-</v>
      </c>
      <c r="AX6" s="56" t="str">
        <f ca="1">IF($H6=リスト!$AA$4,"-",
   IF($C6="-","-",
     IF(AX$4&gt;$P6,"-",
       IF(AX$4=1,$E6,OFFSET(AX6,0,-2)-OFFSET(AX6,0,-1)
))))</f>
        <v>-</v>
      </c>
      <c r="AY6" s="57" t="str">
        <f>IF($H6=リスト!$AA$4,"-",
 IF($C6="-","-",
  IF(AX$4&gt;$P6,"-",
   CHOOSE(MATCH($H$3,リスト!$AE$3:$AE$5,0),
    ROUNDUP(
      AX6*IF(AX6*$I6&lt;=$L6,$J6,$I6)*
      IF($P6=1,
         $S6/12,
         IF(AX$4=1,
            $T6/12,
            IF(AX$4=$P6,
               $U6/12,
               1
      ))),0),
    ROUNDDOWN(
      AX6*IF(AX6*$I6&lt;=$L6,$J6,$I6)*
      IF($P6=1,
         $S6/12,
         IF(AX$4=1,
            $T6/12,
            IF(AX$4=$P6,
               $U6/12,
               1
      ))),0),
    ROUND(
      AX6*IF(AX6*$I6&lt;=$L6,$J6,$I6)*
      IF($P6=1,
         $S6/12,
         IF(AX$4=1,
            $T6/12,
            IF(AX$4=$P6,
               $U6/12,
               1
      ))),0)
))))</f>
        <v>-</v>
      </c>
      <c r="AZ6" s="56" t="str">
        <f ca="1">IF($H6=リスト!$AA$4,"-",
   IF($C6="-","-",
     IF(AZ$4&gt;$P6,"-",
       IF(AZ$4=1,$E6,OFFSET(AZ6,0,-2)-OFFSET(AZ6,0,-1)
))))</f>
        <v>-</v>
      </c>
      <c r="BA6" s="57" t="str">
        <f>IF($H6=リスト!$AA$4,"-",
 IF($C6="-","-",
  IF(AZ$4&gt;$P6,"-",
   CHOOSE(MATCH($H$3,リスト!$AE$3:$AE$5,0),
    ROUNDUP(
      AZ6*IF(AZ6*$I6&lt;=$L6,$J6,$I6)*
      IF($P6=1,
         $S6/12,
         IF(AZ$4=1,
            $T6/12,
            IF(AZ$4=$P6,
               $U6/12,
               1
      ))),0),
    ROUNDDOWN(
      AZ6*IF(AZ6*$I6&lt;=$L6,$J6,$I6)*
      IF($P6=1,
         $S6/12,
         IF(AZ$4=1,
            $T6/12,
            IF(AZ$4=$P6,
               $U6/12,
               1
      ))),0),
    ROUND(
      AZ6*IF(AZ6*$I6&lt;=$L6,$J6,$I6)*
      IF($P6=1,
         $S6/12,
         IF(AZ$4=1,
            $T6/12,
            IF(AZ$4=$P6,
               $U6/12,
               1
      ))),0)
))))</f>
        <v>-</v>
      </c>
      <c r="BB6" s="56" t="str">
        <f ca="1">IF($H6=リスト!$AA$4,"-",
   IF($C6="-","-",
     IF(BB$4&gt;$P6,"-",
       IF(BB$4=1,$E6,OFFSET(BB6,0,-2)-OFFSET(BB6,0,-1)
))))</f>
        <v>-</v>
      </c>
      <c r="BC6" s="57" t="str">
        <f>IF($H6=リスト!$AA$4,"-",
 IF($C6="-","-",
  IF(BB$4&gt;$P6,"-",
   CHOOSE(MATCH($H$3,リスト!$AE$3:$AE$5,0),
    ROUNDUP(
      BB6*IF(BB6*$I6&lt;=$L6,$J6,$I6)*
      IF($P6=1,
         $S6/12,
         IF(BB$4=1,
            $T6/12,
            IF(BB$4=$P6,
               $U6/12,
               1
      ))),0),
    ROUNDDOWN(
      BB6*IF(BB6*$I6&lt;=$L6,$J6,$I6)*
      IF($P6=1,
         $S6/12,
         IF(BB$4=1,
            $T6/12,
            IF(BB$4=$P6,
               $U6/12,
               1
      ))),0),
    ROUND(
      BB6*IF(BB6*$I6&lt;=$L6,$J6,$I6)*
      IF($P6=1,
         $S6/12,
         IF(BB$4=1,
            $T6/12,
            IF(BB$4=$P6,
               $U6/12,
               1
      ))),0)
))))</f>
        <v>-</v>
      </c>
      <c r="BD6" s="56" t="str">
        <f ca="1">IF($H6=リスト!$AA$4,"-",
   IF($C6="-","-",
     IF(BD$4&gt;$P6,"-",
       IF(BD$4=1,$E6,OFFSET(BD6,0,-2)-OFFSET(BD6,0,-1)
))))</f>
        <v>-</v>
      </c>
      <c r="BE6" s="57" t="str">
        <f>IF($H6=リスト!$AA$4,"-",
 IF($C6="-","-",
  IF(BD$4&gt;$P6,"-",
   CHOOSE(MATCH($H$3,リスト!$AE$3:$AE$5,0),
    ROUNDUP(
      BD6*IF(BD6*$I6&lt;=$L6,$J6,$I6)*
      IF($P6=1,
         $S6/12,
         IF(BD$4=1,
            $T6/12,
            IF(BD$4=$P6,
               $U6/12,
               1
      ))),0),
    ROUNDDOWN(
      BD6*IF(BD6*$I6&lt;=$L6,$J6,$I6)*
      IF($P6=1,
         $S6/12,
         IF(BD$4=1,
            $T6/12,
            IF(BD$4=$P6,
               $U6/12,
               1
      ))),0),
    ROUND(
      BD6*IF(BD6*$I6&lt;=$L6,$J6,$I6)*
      IF($P6=1,
         $S6/12,
         IF(BD$4=1,
            $T6/12,
            IF(BD$4=$P6,
               $U6/12,
               1
      ))),0)
))))</f>
        <v>-</v>
      </c>
      <c r="BF6" s="56" t="str">
        <f ca="1">IF($H6=リスト!$AA$4,"-",
   IF($C6="-","-",
     IF(BF$4&gt;$P6,"-",
       IF(BF$4=1,$E6,OFFSET(BF6,0,-2)-OFFSET(BF6,0,-1)
))))</f>
        <v>-</v>
      </c>
      <c r="BG6" s="57" t="str">
        <f>IF($H6=リスト!$AA$4,"-",
 IF($C6="-","-",
  IF(BF$4&gt;$P6,"-",
   CHOOSE(MATCH($H$3,リスト!$AE$3:$AE$5,0),
    ROUNDUP(
      BF6*IF(BF6*$I6&lt;=$L6,$J6,$I6)*
      IF($P6=1,
         $S6/12,
         IF(BF$4=1,
            $T6/12,
            IF(BF$4=$P6,
               $U6/12,
               1
      ))),0),
    ROUNDDOWN(
      BF6*IF(BF6*$I6&lt;=$L6,$J6,$I6)*
      IF($P6=1,
         $S6/12,
         IF(BF$4=1,
            $T6/12,
            IF(BF$4=$P6,
               $U6/12,
               1
      ))),0),
    ROUND(
      BF6*IF(BF6*$I6&lt;=$L6,$J6,$I6)*
      IF($P6=1,
         $S6/12,
         IF(BF$4=1,
            $T6/12,
            IF(BF$4=$P6,
               $U6/12,
               1
      ))),0)
))))</f>
        <v>-</v>
      </c>
      <c r="BH6" s="56" t="str">
        <f ca="1">IF($H6=リスト!$AA$4,"-",
   IF($C6="-","-",
     IF(BH$4&gt;$P6,"-",
       IF(BH$4=1,$E6,OFFSET(BH6,0,-2)-OFFSET(BH6,0,-1)
))))</f>
        <v>-</v>
      </c>
      <c r="BI6" s="57" t="str">
        <f>IF($H6=リスト!$AA$4,"-",
 IF($C6="-","-",
  IF(BH$4&gt;$P6,"-",
   CHOOSE(MATCH($H$3,リスト!$AE$3:$AE$5,0),
    ROUNDUP(
      BH6*IF(BH6*$I6&lt;=$L6,$J6,$I6)*
      IF($P6=1,
         $S6/12,
         IF(BH$4=1,
            $T6/12,
            IF(BH$4=$P6,
               $U6/12,
               1
      ))),0),
    ROUNDDOWN(
      BH6*IF(BH6*$I6&lt;=$L6,$J6,$I6)*
      IF($P6=1,
         $S6/12,
         IF(BH$4=1,
            $T6/12,
            IF(BH$4=$P6,
               $U6/12,
               1
      ))),0),
    ROUND(
      BH6*IF(BH6*$I6&lt;=$L6,$J6,$I6)*
      IF($P6=1,
         $S6/12,
         IF(BH$4=1,
            $T6/12,
            IF(BH$4=$P6,
               $U6/12,
               1
      ))),0)
))))</f>
        <v>-</v>
      </c>
      <c r="BJ6" s="56" t="str">
        <f ca="1">IF($H6=リスト!$AA$4,"-",
   IF($C6="-","-",
     IF(BJ$4&gt;$P6,"-",
       IF(BJ$4=1,$E6,OFFSET(BJ6,0,-2)-OFFSET(BJ6,0,-1)
))))</f>
        <v>-</v>
      </c>
      <c r="BK6" s="57" t="str">
        <f>IF($H6=リスト!$AA$4,"-",
 IF($C6="-","-",
  IF(BJ$4&gt;$P6,"-",
   CHOOSE(MATCH($H$3,リスト!$AE$3:$AE$5,0),
    ROUNDUP(
      BJ6*IF(BJ6*$I6&lt;=$L6,$J6,$I6)*
      IF($P6=1,
         $S6/12,
         IF(BJ$4=1,
            $T6/12,
            IF(BJ$4=$P6,
               $U6/12,
               1
      ))),0),
    ROUNDDOWN(
      BJ6*IF(BJ6*$I6&lt;=$L6,$J6,$I6)*
      IF($P6=1,
         $S6/12,
         IF(BJ$4=1,
            $T6/12,
            IF(BJ$4=$P6,
               $U6/12,
               1
      ))),0),
    ROUND(
      BJ6*IF(BJ6*$I6&lt;=$L6,$J6,$I6)*
      IF($P6=1,
         $S6/12,
         IF(BJ$4=1,
            $T6/12,
            IF(BJ$4=$P6,
               $U6/12,
               1
      ))),0)
))))</f>
        <v>-</v>
      </c>
      <c r="BL6" s="56" t="str">
        <f ca="1">IF($H6=リスト!$AA$4,"-",
   IF($C6="-","-",
     IF(BL$4&gt;$P6,"-",
       IF(BL$4=1,$E6,OFFSET(BL6,0,-2)-OFFSET(BL6,0,-1)
))))</f>
        <v>-</v>
      </c>
      <c r="BM6" s="57" t="str">
        <f>IF($H6=リスト!$AA$4,"-",
 IF($C6="-","-",
  IF(BL$4&gt;$P6,"-",
   CHOOSE(MATCH($H$3,リスト!$AE$3:$AE$5,0),
    ROUNDUP(
      BL6*IF(BL6*$I6&lt;=$L6,$J6,$I6)*
      IF($P6=1,
         $S6/12,
         IF(BL$4=1,
            $T6/12,
            IF(BL$4=$P6,
               $U6/12,
               1
      ))),0),
    ROUNDDOWN(
      BL6*IF(BL6*$I6&lt;=$L6,$J6,$I6)*
      IF($P6=1,
         $S6/12,
         IF(BL$4=1,
            $T6/12,
            IF(BL$4=$P6,
               $U6/12,
               1
      ))),0),
    ROUND(
      BL6*IF(BL6*$I6&lt;=$L6,$J6,$I6)*
      IF($P6=1,
         $S6/12,
         IF(BL$4=1,
            $T6/12,
            IF(BL$4=$P6,
               $U6/12,
               1
      ))),0)
))))</f>
        <v>-</v>
      </c>
      <c r="BN6" s="56" t="str">
        <f ca="1">IF($H6=リスト!$AA$4,"-",
   IF($C6="-","-",
     IF(BN$4&gt;$P6,"-",
       IF(BN$4=1,$E6,OFFSET(BN6,0,-2)-OFFSET(BN6,0,-1)
))))</f>
        <v>-</v>
      </c>
      <c r="BO6" s="57" t="str">
        <f>IF($H6=リスト!$AA$4,"-",
 IF($C6="-","-",
  IF(BN$4&gt;$P6,"-",
   CHOOSE(MATCH($H$3,リスト!$AE$3:$AE$5,0),
    ROUNDUP(
      BN6*IF(BN6*$I6&lt;=$L6,$J6,$I6)*
      IF($P6=1,
         $S6/12,
         IF(BN$4=1,
            $T6/12,
            IF(BN$4=$P6,
               $U6/12,
               1
      ))),0),
    ROUNDDOWN(
      BN6*IF(BN6*$I6&lt;=$L6,$J6,$I6)*
      IF($P6=1,
         $S6/12,
         IF(BN$4=1,
            $T6/12,
            IF(BN$4=$P6,
               $U6/12,
               1
      ))),0),
    ROUND(
      BN6*IF(BN6*$I6&lt;=$L6,$J6,$I6)*
      IF($P6=1,
         $S6/12,
         IF(BN$4=1,
            $T6/12,
            IF(BN$4=$P6,
               $U6/12,
               1
      ))),0)
))))</f>
        <v>-</v>
      </c>
      <c r="BP6" s="56" t="str">
        <f ca="1">IF($H6=リスト!$AA$4,"-",
   IF($C6="-","-",
     IF(BP$4&gt;$P6,"-",
       IF(BP$4=1,$E6,OFFSET(BP6,0,-2)-OFFSET(BP6,0,-1)
))))</f>
        <v>-</v>
      </c>
      <c r="BQ6" s="57" t="str">
        <f>IF($H6=リスト!$AA$4,"-",
 IF($C6="-","-",
  IF(BP$4&gt;$P6,"-",
   CHOOSE(MATCH($H$3,リスト!$AE$3:$AE$5,0),
    ROUNDUP(
      BP6*IF(BP6*$I6&lt;=$L6,$J6,$I6)*
      IF($P6=1,
         $S6/12,
         IF(BP$4=1,
            $T6/12,
            IF(BP$4=$P6,
               $U6/12,
               1
      ))),0),
    ROUNDDOWN(
      BP6*IF(BP6*$I6&lt;=$L6,$J6,$I6)*
      IF($P6=1,
         $S6/12,
         IF(BP$4=1,
            $T6/12,
            IF(BP$4=$P6,
               $U6/12,
               1
      ))),0),
    ROUND(
      BP6*IF(BP6*$I6&lt;=$L6,$J6,$I6)*
      IF($P6=1,
         $S6/12,
         IF(BP$4=1,
            $T6/12,
            IF(BP$4=$P6,
               $U6/12,
               1
      ))),0)
))))</f>
        <v>-</v>
      </c>
      <c r="BR6" s="56" t="str">
        <f ca="1">IF($H6=リスト!$AA$4,"-",
   IF($C6="-","-",
     IF(BR$4&gt;$P6,"-",
       IF(BR$4=1,$E6,OFFSET(BR6,0,-2)-OFFSET(BR6,0,-1)
))))</f>
        <v>-</v>
      </c>
      <c r="BS6" s="57" t="str">
        <f>IF($H6=リスト!$AA$4,"-",
 IF($C6="-","-",
  IF(BR$4&gt;$P6,"-",
   CHOOSE(MATCH($H$3,リスト!$AE$3:$AE$5,0),
    ROUNDUP(
      BR6*IF(BR6*$I6&lt;=$L6,$J6,$I6)*
      IF($P6=1,
         $S6/12,
         IF(BR$4=1,
            $T6/12,
            IF(BR$4=$P6,
               $U6/12,
               1
      ))),0),
    ROUNDDOWN(
      BR6*IF(BR6*$I6&lt;=$L6,$J6,$I6)*
      IF($P6=1,
         $S6/12,
         IF(BR$4=1,
            $T6/12,
            IF(BR$4=$P6,
               $U6/12,
               1
      ))),0),
    ROUND(
      BR6*IF(BR6*$I6&lt;=$L6,$J6,$I6)*
      IF($P6=1,
         $S6/12,
         IF(BR$4=1,
            $T6/12,
            IF(BR$4=$P6,
               $U6/12,
               1
      ))),0)
))))</f>
        <v>-</v>
      </c>
      <c r="BT6" s="56" t="str">
        <f ca="1">IF($H6=リスト!$AA$4,"-",
   IF($C6="-","-",
     IF(BT$4&gt;$P6,"-",
       IF(BT$4=1,$E6,OFFSET(BT6,0,-2)-OFFSET(BT6,0,-1)
))))</f>
        <v>-</v>
      </c>
      <c r="BU6" s="57" t="str">
        <f>IF($H6=リスト!$AA$4,"-",
 IF($C6="-","-",
  IF(BT$4&gt;$P6,"-",
   CHOOSE(MATCH($H$3,リスト!$AE$3:$AE$5,0),
    ROUNDUP(
      BT6*IF(BT6*$I6&lt;=$L6,$J6,$I6)*
      IF($P6=1,
         $S6/12,
         IF(BT$4=1,
            $T6/12,
            IF(BT$4=$P6,
               $U6/12,
               1
      ))),0),
    ROUNDDOWN(
      BT6*IF(BT6*$I6&lt;=$L6,$J6,$I6)*
      IF($P6=1,
         $S6/12,
         IF(BT$4=1,
            $T6/12,
            IF(BT$4=$P6,
               $U6/12,
               1
      ))),0),
    ROUND(
      BT6*IF(BT6*$I6&lt;=$L6,$J6,$I6)*
      IF($P6=1,
         $S6/12,
         IF(BT$4=1,
            $T6/12,
            IF(BT$4=$P6,
               $U6/12,
               1
      ))),0)
))))</f>
        <v>-</v>
      </c>
      <c r="BV6" s="56" t="str">
        <f ca="1">IF($H6=リスト!$AA$4,"-",
   IF($C6="-","-",
     IF(BV$4&gt;$P6,"-",
       IF(BV$4=1,$E6,OFFSET(BV6,0,-2)-OFFSET(BV6,0,-1)
))))</f>
        <v>-</v>
      </c>
      <c r="BW6" s="57" t="str">
        <f>IF($H6=リスト!$AA$4,"-",
 IF($C6="-","-",
  IF(BV$4&gt;$P6,"-",
   CHOOSE(MATCH($H$3,リスト!$AE$3:$AE$5,0),
    ROUNDUP(
      BV6*IF(BV6*$I6&lt;=$L6,$J6,$I6)*
      IF($P6=1,
         $S6/12,
         IF(BV$4=1,
            $T6/12,
            IF(BV$4=$P6,
               $U6/12,
               1
      ))),0),
    ROUNDDOWN(
      BV6*IF(BV6*$I6&lt;=$L6,$J6,$I6)*
      IF($P6=1,
         $S6/12,
         IF(BV$4=1,
            $T6/12,
            IF(BV$4=$P6,
               $U6/12,
               1
      ))),0),
    ROUND(
      BV6*IF(BV6*$I6&lt;=$L6,$J6,$I6)*
      IF($P6=1,
         $S6/12,
         IF(BV$4=1,
            $T6/12,
            IF(BV$4=$P6,
               $U6/12,
               1
      ))),0)
))))</f>
        <v>-</v>
      </c>
      <c r="BX6" s="56" t="str">
        <f ca="1">IF($H6=リスト!$AA$4,"-",
   IF($C6="-","-",
     IF(BX$4&gt;$P6,"-",
       IF(BX$4=1,$E6,OFFSET(BX6,0,-2)-OFFSET(BX6,0,-1)
))))</f>
        <v>-</v>
      </c>
      <c r="BY6" s="57" t="str">
        <f>IF($H6=リスト!$AA$4,"-",
 IF($C6="-","-",
  IF(BX$4&gt;$P6,"-",
   CHOOSE(MATCH($H$3,リスト!$AE$3:$AE$5,0),
    ROUNDUP(
      BX6*IF(BX6*$I6&lt;=$L6,$J6,$I6)*
      IF($P6=1,
         $S6/12,
         IF(BX$4=1,
            $T6/12,
            IF(BX$4=$P6,
               $U6/12,
               1
      ))),0),
    ROUNDDOWN(
      BX6*IF(BX6*$I6&lt;=$L6,$J6,$I6)*
      IF($P6=1,
         $S6/12,
         IF(BX$4=1,
            $T6/12,
            IF(BX$4=$P6,
               $U6/12,
               1
      ))),0),
    ROUND(
      BX6*IF(BX6*$I6&lt;=$L6,$J6,$I6)*
      IF($P6=1,
         $S6/12,
         IF(BX$4=1,
            $T6/12,
            IF(BX$4=$P6,
               $U6/12,
               1
      ))),0)
))))</f>
        <v>-</v>
      </c>
      <c r="BZ6" s="56" t="str">
        <f ca="1">IF($H6=リスト!$AA$4,"-",
   IF($C6="-","-",
     IF(BZ$4&gt;$P6,"-",
       IF(BZ$4=1,$E6,OFFSET(BZ6,0,-2)-OFFSET(BZ6,0,-1)
))))</f>
        <v>-</v>
      </c>
      <c r="CA6" s="57" t="str">
        <f>IF($H6=リスト!$AA$4,"-",
 IF($C6="-","-",
  IF(BZ$4&gt;$P6,"-",
   CHOOSE(MATCH($H$3,リスト!$AE$3:$AE$5,0),
    ROUNDUP(
      BZ6*IF(BZ6*$I6&lt;=$L6,$J6,$I6)*
      IF($P6=1,
         $S6/12,
         IF(BZ$4=1,
            $T6/12,
            IF(BZ$4=$P6,
               $U6/12,
               1
      ))),0),
    ROUNDDOWN(
      BZ6*IF(BZ6*$I6&lt;=$L6,$J6,$I6)*
      IF($P6=1,
         $S6/12,
         IF(BZ$4=1,
            $T6/12,
            IF(BZ$4=$P6,
               $U6/12,
               1
      ))),0),
    ROUND(
      BZ6*IF(BZ6*$I6&lt;=$L6,$J6,$I6)*
      IF($P6=1,
         $S6/12,
         IF(BZ$4=1,
            $T6/12,
            IF(BZ$4=$P6,
               $U6/12,
               1
      ))),0)
))))</f>
        <v>-</v>
      </c>
      <c r="CB6" s="56" t="str">
        <f ca="1">IF($H6=リスト!$AA$4,"-",
   IF($C6="-","-",
     IF(CB$4&gt;$P6,"-",
       IF(CB$4=1,$E6,OFFSET(CB6,0,-2)-OFFSET(CB6,0,-1)
))))</f>
        <v>-</v>
      </c>
      <c r="CC6" s="57" t="str">
        <f>IF($H6=リスト!$AA$4,"-",
 IF($C6="-","-",
  IF(CB$4&gt;$P6,"-",
   CHOOSE(MATCH($H$3,リスト!$AE$3:$AE$5,0),
    ROUNDUP(
      CB6*IF(CB6*$I6&lt;=$L6,$J6,$I6)*
      IF($P6=1,
         $S6/12,
         IF(CB$4=1,
            $T6/12,
            IF(CB$4=$P6,
               $U6/12,
               1
      ))),0),
    ROUNDDOWN(
      CB6*IF(CB6*$I6&lt;=$L6,$J6,$I6)*
      IF($P6=1,
         $S6/12,
         IF(CB$4=1,
            $T6/12,
            IF(CB$4=$P6,
               $U6/12,
               1
      ))),0),
    ROUND(
      CB6*IF(CB6*$I6&lt;=$L6,$J6,$I6)*
      IF($P6=1,
         $S6/12,
         IF(CB$4=1,
            $T6/12,
            IF(CB$4=$P6,
               $U6/12,
               1
      ))),0)
))))</f>
        <v>-</v>
      </c>
      <c r="CD6" s="56" t="str">
        <f ca="1">IF($H6=リスト!$AA$4,"-",
   IF($C6="-","-",
     IF(CD$4&gt;$P6,"-",
       IF(CD$4=1,$E6,OFFSET(CD6,0,-2)-OFFSET(CD6,0,-1)
))))</f>
        <v>-</v>
      </c>
      <c r="CE6" s="57" t="str">
        <f>IF($H6=リスト!$AA$4,"-",
 IF($C6="-","-",
  IF(CD$4&gt;$P6,"-",
   CHOOSE(MATCH($H$3,リスト!$AE$3:$AE$5,0),
    ROUNDUP(
      CD6*IF(CD6*$I6&lt;=$L6,$J6,$I6)*
      IF($P6=1,
         $S6/12,
         IF(CD$4=1,
            $T6/12,
            IF(CD$4=$P6,
               $U6/12,
               1
      ))),0),
    ROUNDDOWN(
      CD6*IF(CD6*$I6&lt;=$L6,$J6,$I6)*
      IF($P6=1,
         $S6/12,
         IF(CD$4=1,
            $T6/12,
            IF(CD$4=$P6,
               $U6/12,
               1
      ))),0),
    ROUND(
      CD6*IF(CD6*$I6&lt;=$L6,$J6,$I6)*
      IF($P6=1,
         $S6/12,
         IF(CD$4=1,
            $T6/12,
            IF(CD$4=$P6,
               $U6/12,
               1
      ))),0)
))))</f>
        <v>-</v>
      </c>
      <c r="CF6" s="56" t="str">
        <f ca="1">IF($H6=リスト!$AA$4,"-",
   IF($C6="-","-",
     IF(CF$4&gt;$P6,"-",
       IF(CF$4=1,$E6,OFFSET(CF6,0,-2)-OFFSET(CF6,0,-1)
))))</f>
        <v>-</v>
      </c>
      <c r="CG6" s="57" t="str">
        <f>IF($H6=リスト!$AA$4,"-",
 IF($C6="-","-",
  IF(CF$4&gt;$P6,"-",
   CHOOSE(MATCH($H$3,リスト!$AE$3:$AE$5,0),
    ROUNDUP(
      CF6*IF(CF6*$I6&lt;=$L6,$J6,$I6)*
      IF($P6=1,
         $S6/12,
         IF(CF$4=1,
            $T6/12,
            IF(CF$4=$P6,
               $U6/12,
               1
      ))),0),
    ROUNDDOWN(
      CF6*IF(CF6*$I6&lt;=$L6,$J6,$I6)*
      IF($P6=1,
         $S6/12,
         IF(CF$4=1,
            $T6/12,
            IF(CF$4=$P6,
               $U6/12,
               1
      ))),0),
    ROUND(
      CF6*IF(CF6*$I6&lt;=$L6,$J6,$I6)*
      IF($P6=1,
         $S6/12,
         IF(CF$4=1,
            $T6/12,
            IF(CF$4=$P6,
               $U6/12,
               1
      ))),0)
))))</f>
        <v>-</v>
      </c>
      <c r="CH6" s="56" t="str">
        <f ca="1">IF($H6=リスト!$AA$4,"-",
   IF($C6="-","-",
     IF(CH$4&gt;$P6,"-",
       IF(CH$4=1,$E6,OFFSET(CH6,0,-2)-OFFSET(CH6,0,-1)
))))</f>
        <v>-</v>
      </c>
      <c r="CI6" s="57" t="str">
        <f>IF($H6=リスト!$AA$4,"-",
 IF($C6="-","-",
  IF(CH$4&gt;$P6,"-",
   CHOOSE(MATCH($H$3,リスト!$AE$3:$AE$5,0),
    ROUNDUP(
      CH6*IF(CH6*$I6&lt;=$L6,$J6,$I6)*
      IF($P6=1,
         $S6/12,
         IF(CH$4=1,
            $T6/12,
            IF(CH$4=$P6,
               $U6/12,
               1
      ))),0),
    ROUNDDOWN(
      CH6*IF(CH6*$I6&lt;=$L6,$J6,$I6)*
      IF($P6=1,
         $S6/12,
         IF(CH$4=1,
            $T6/12,
            IF(CH$4=$P6,
               $U6/12,
               1
      ))),0),
    ROUND(
      CH6*IF(CH6*$I6&lt;=$L6,$J6,$I6)*
      IF($P6=1,
         $S6/12,
         IF(CH$4=1,
            $T6/12,
            IF(CH$4=$P6,
               $U6/12,
               1
      ))),0)
))))</f>
        <v>-</v>
      </c>
      <c r="CJ6" s="56" t="str">
        <f ca="1">IF($H6=リスト!$AA$4,"-",
   IF($C6="-","-",
     IF(CJ$4&gt;$P6,"-",
       IF(CJ$4=1,$E6,OFFSET(CJ6,0,-2)-OFFSET(CJ6,0,-1)
))))</f>
        <v>-</v>
      </c>
      <c r="CK6" s="57" t="str">
        <f>IF($H6=リスト!$AA$4,"-",
 IF($C6="-","-",
  IF(CJ$4&gt;$P6,"-",
   CHOOSE(MATCH($H$3,リスト!$AE$3:$AE$5,0),
    ROUNDUP(
      CJ6*IF(CJ6*$I6&lt;=$L6,$J6,$I6)*
      IF($P6=1,
         $S6/12,
         IF(CJ$4=1,
            $T6/12,
            IF(CJ$4=$P6,
               $U6/12,
               1
      ))),0),
    ROUNDDOWN(
      CJ6*IF(CJ6*$I6&lt;=$L6,$J6,$I6)*
      IF($P6=1,
         $S6/12,
         IF(CJ$4=1,
            $T6/12,
            IF(CJ$4=$P6,
               $U6/12,
               1
      ))),0),
    ROUND(
      CJ6*IF(CJ6*$I6&lt;=$L6,$J6,$I6)*
      IF($P6=1,
         $S6/12,
         IF(CJ$4=1,
            $T6/12,
            IF(CJ$4=$P6,
               $U6/12,
               1
      ))),0)
))))</f>
        <v>-</v>
      </c>
      <c r="CL6" s="56" t="str">
        <f ca="1">IF($H6=リスト!$AA$4,"-",
   IF($C6="-","-",
     IF(CL$4&gt;$P6,"-",
       IF(CL$4=1,$E6,OFFSET(CL6,0,-2)-OFFSET(CL6,0,-1)
))))</f>
        <v>-</v>
      </c>
      <c r="CM6" s="57" t="str">
        <f>IF($H6=リスト!$AA$4,"-",
 IF($C6="-","-",
  IF(CL$4&gt;$P6,"-",
   CHOOSE(MATCH($H$3,リスト!$AE$3:$AE$5,0),
    ROUNDUP(
      CL6*IF(CL6*$I6&lt;=$L6,$J6,$I6)*
      IF($P6=1,
         $S6/12,
         IF(CL$4=1,
            $T6/12,
            IF(CL$4=$P6,
               $U6/12,
               1
      ))),0),
    ROUNDDOWN(
      CL6*IF(CL6*$I6&lt;=$L6,$J6,$I6)*
      IF($P6=1,
         $S6/12,
         IF(CL$4=1,
            $T6/12,
            IF(CL$4=$P6,
               $U6/12,
               1
      ))),0),
    ROUND(
      CL6*IF(CL6*$I6&lt;=$L6,$J6,$I6)*
      IF($P6=1,
         $S6/12,
         IF(CL$4=1,
            $T6/12,
            IF(CL$4=$P6,
               $U6/12,
               1
      ))),0)
))))</f>
        <v>-</v>
      </c>
      <c r="CN6" s="56" t="str">
        <f ca="1">IF($H6=リスト!$AA$4,"-",
   IF($C6="-","-",
     IF(CN$4&gt;$P6,"-",
       IF(CN$4=1,$E6,OFFSET(CN6,0,-2)-OFFSET(CN6,0,-1)
))))</f>
        <v>-</v>
      </c>
      <c r="CO6" s="57" t="str">
        <f>IF($H6=リスト!$AA$4,"-",
 IF($C6="-","-",
  IF(CN$4&gt;$P6,"-",
   CHOOSE(MATCH($H$3,リスト!$AE$3:$AE$5,0),
    ROUNDUP(
      CN6*IF(CN6*$I6&lt;=$L6,$J6,$I6)*
      IF($P6=1,
         $S6/12,
         IF(CN$4=1,
            $T6/12,
            IF(CN$4=$P6,
               $U6/12,
               1
      ))),0),
    ROUNDDOWN(
      CN6*IF(CN6*$I6&lt;=$L6,$J6,$I6)*
      IF($P6=1,
         $S6/12,
         IF(CN$4=1,
            $T6/12,
            IF(CN$4=$P6,
               $U6/12,
               1
      ))),0),
    ROUND(
      CN6*IF(CN6*$I6&lt;=$L6,$J6,$I6)*
      IF($P6=1,
         $S6/12,
         IF(CN$4=1,
            $T6/12,
            IF(CN$4=$P6,
               $U6/12,
               1
      ))),0)
))))</f>
        <v>-</v>
      </c>
      <c r="CP6" s="56" t="str">
        <f ca="1">IF($H6=リスト!$AA$4,"-",
   IF($C6="-","-",
     IF(CP$4&gt;$P6,"-",
       IF(CP$4=1,$E6,OFFSET(CP6,0,-2)-OFFSET(CP6,0,-1)
))))</f>
        <v>-</v>
      </c>
      <c r="CQ6" s="57" t="str">
        <f>IF($H6=リスト!$AA$4,"-",
 IF($C6="-","-",
  IF(CP$4&gt;$P6,"-",
   CHOOSE(MATCH($H$3,リスト!$AE$3:$AE$5,0),
    ROUNDUP(
      CP6*IF(CP6*$I6&lt;=$L6,$J6,$I6)*
      IF($P6=1,
         $S6/12,
         IF(CP$4=1,
            $T6/12,
            IF(CP$4=$P6,
               $U6/12,
               1
      ))),0),
    ROUNDDOWN(
      CP6*IF(CP6*$I6&lt;=$L6,$J6,$I6)*
      IF($P6=1,
         $S6/12,
         IF(CP$4=1,
            $T6/12,
            IF(CP$4=$P6,
               $U6/12,
               1
      ))),0),
    ROUND(
      CP6*IF(CP6*$I6&lt;=$L6,$J6,$I6)*
      IF($P6=1,
         $S6/12,
         IF(CP$4=1,
            $T6/12,
            IF(CP$4=$P6,
               $U6/12,
               1
      ))),0)
))))</f>
        <v>-</v>
      </c>
      <c r="CR6" s="56" t="str">
        <f ca="1">IF($H6=リスト!$AA$4,"-",
   IF($C6="-","-",
     IF(CR$4&gt;$P6,"-",
       IF(CR$4=1,$E6,OFFSET(CR6,0,-2)-OFFSET(CR6,0,-1)
))))</f>
        <v>-</v>
      </c>
      <c r="CS6" s="57" t="str">
        <f>IF($H6=リスト!$AA$4,"-",
 IF($C6="-","-",
  IF(CR$4&gt;$P6,"-",
   CHOOSE(MATCH($H$3,リスト!$AE$3:$AE$5,0),
    ROUNDUP(
      CR6*IF(CR6*$I6&lt;=$L6,$J6,$I6)*
      IF($P6=1,
         $S6/12,
         IF(CR$4=1,
            $T6/12,
            IF(CR$4=$P6,
               $U6/12,
               1
      ))),0),
    ROUNDDOWN(
      CR6*IF(CR6*$I6&lt;=$L6,$J6,$I6)*
      IF($P6=1,
         $S6/12,
         IF(CR$4=1,
            $T6/12,
            IF(CR$4=$P6,
               $U6/12,
               1
      ))),0),
    ROUND(
      CR6*IF(CR6*$I6&lt;=$L6,$J6,$I6)*
      IF($P6=1,
         $S6/12,
         IF(CR$4=1,
            $T6/12,
            IF(CR$4=$P6,
               $U6/12,
               1
      ))),0)
))))</f>
        <v>-</v>
      </c>
      <c r="CT6" s="56" t="str">
        <f ca="1">IF($H6=リスト!$AA$4,"-",
   IF($C6="-","-",
     IF(CT$4&gt;$P6,"-",
       IF(CT$4=1,$E6,OFFSET(CT6,0,-2)-OFFSET(CT6,0,-1)
))))</f>
        <v>-</v>
      </c>
      <c r="CU6" s="57" t="str">
        <f>IF($H6=リスト!$AA$4,"-",
 IF($C6="-","-",
  IF(CT$4&gt;$P6,"-",
   CHOOSE(MATCH($H$3,リスト!$AE$3:$AE$5,0),
    ROUNDUP(
      CT6*IF(CT6*$I6&lt;=$L6,$J6,$I6)*
      IF($P6=1,
         $S6/12,
         IF(CT$4=1,
            $T6/12,
            IF(CT$4=$P6,
               $U6/12,
               1
      ))),0),
    ROUNDDOWN(
      CT6*IF(CT6*$I6&lt;=$L6,$J6,$I6)*
      IF($P6=1,
         $S6/12,
         IF(CT$4=1,
            $T6/12,
            IF(CT$4=$P6,
               $U6/12,
               1
      ))),0),
    ROUND(
      CT6*IF(CT6*$I6&lt;=$L6,$J6,$I6)*
      IF($P6=1,
         $S6/12,
         IF(CT$4=1,
            $T6/12,
            IF(CT$4=$P6,
               $U6/12,
               1
      ))),0)
))))</f>
        <v>-</v>
      </c>
      <c r="CV6" s="56" t="str">
        <f ca="1">IF($H6=リスト!$AA$4,"-",
   IF($C6="-","-",
     IF(CV$4&gt;$P6,"-",
       IF(CV$4=1,$E6,OFFSET(CV6,0,-2)-OFFSET(CV6,0,-1)
))))</f>
        <v>-</v>
      </c>
      <c r="CW6" s="57" t="str">
        <f>IF($H6=リスト!$AA$4,"-",
 IF($C6="-","-",
  IF(CV$4&gt;$P6,"-",
   CHOOSE(MATCH($H$3,リスト!$AE$3:$AE$5,0),
    ROUNDUP(
      CV6*IF(CV6*$I6&lt;=$L6,$J6,$I6)*
      IF($P6=1,
         $S6/12,
         IF(CV$4=1,
            $T6/12,
            IF(CV$4=$P6,
               $U6/12,
               1
      ))),0),
    ROUNDDOWN(
      CV6*IF(CV6*$I6&lt;=$L6,$J6,$I6)*
      IF($P6=1,
         $S6/12,
         IF(CV$4=1,
            $T6/12,
            IF(CV$4=$P6,
               $U6/12,
               1
      ))),0),
    ROUND(
      CV6*IF(CV6*$I6&lt;=$L6,$J6,$I6)*
      IF($P6=1,
         $S6/12,
         IF(CV$4=1,
            $T6/12,
            IF(CV$4=$P6,
               $U6/12,
               1
      ))),0)
))))</f>
        <v>-</v>
      </c>
      <c r="CX6" s="56" t="str">
        <f ca="1">IF($H6=リスト!$AA$4,"-",
   IF($C6="-","-",
     IF(CX$4&gt;$P6,"-",
       IF(CX$4=1,$E6,OFFSET(CX6,0,-2)-OFFSET(CX6,0,-1)
))))</f>
        <v>-</v>
      </c>
      <c r="CY6" s="57" t="str">
        <f>IF($H6=リスト!$AA$4,"-",
 IF($C6="-","-",
  IF(CX$4&gt;$P6,"-",
   CHOOSE(MATCH($H$3,リスト!$AE$3:$AE$5,0),
    ROUNDUP(
      CX6*IF(CX6*$I6&lt;=$L6,$J6,$I6)*
      IF($P6=1,
         $S6/12,
         IF(CX$4=1,
            $T6/12,
            IF(CX$4=$P6,
               $U6/12,
               1
      ))),0),
    ROUNDDOWN(
      CX6*IF(CX6*$I6&lt;=$L6,$J6,$I6)*
      IF($P6=1,
         $S6/12,
         IF(CX$4=1,
            $T6/12,
            IF(CX$4=$P6,
               $U6/12,
               1
      ))),0),
    ROUND(
      CX6*IF(CX6*$I6&lt;=$L6,$J6,$I6)*
      IF($P6=1,
         $S6/12,
         IF(CX$4=1,
            $T6/12,
            IF(CX$4=$P6,
               $U6/12,
               1
      ))),0)
))))</f>
        <v>-</v>
      </c>
      <c r="CZ6" s="56" t="str">
        <f ca="1">IF($H6=リスト!$AA$4,"-",
   IF($C6="-","-",
     IF(CZ$4&gt;$P6,"-",
       IF(CZ$4=1,$E6,OFFSET(CZ6,0,-2)-OFFSET(CZ6,0,-1)
))))</f>
        <v>-</v>
      </c>
      <c r="DA6" s="57" t="str">
        <f>IF($H6=リスト!$AA$4,"-",
 IF($C6="-","-",
  IF(CZ$4&gt;$P6,"-",
   CHOOSE(MATCH($H$3,リスト!$AE$3:$AE$5,0),
    ROUNDUP(
      CZ6*IF(CZ6*$I6&lt;=$L6,$J6,$I6)*
      IF($P6=1,
         $S6/12,
         IF(CZ$4=1,
            $T6/12,
            IF(CZ$4=$P6,
               $U6/12,
               1
      ))),0),
    ROUNDDOWN(
      CZ6*IF(CZ6*$I6&lt;=$L6,$J6,$I6)*
      IF($P6=1,
         $S6/12,
         IF(CZ$4=1,
            $T6/12,
            IF(CZ$4=$P6,
               $U6/12,
               1
      ))),0),
    ROUND(
      CZ6*IF(CZ6*$I6&lt;=$L6,$J6,$I6)*
      IF($P6=1,
         $S6/12,
         IF(CZ$4=1,
            $T6/12,
            IF(CZ$4=$P6,
               $U6/12,
               1
      ))),0)
))))</f>
        <v>-</v>
      </c>
      <c r="DB6" s="56" t="str">
        <f ca="1">IF($H6=リスト!$AA$4,"-",
   IF($C6="-","-",
     IF(DB$4&gt;$P6,"-",
       IF(DB$4=1,$E6,OFFSET(DB6,0,-2)-OFFSET(DB6,0,-1)
))))</f>
        <v>-</v>
      </c>
      <c r="DC6" s="57" t="str">
        <f>IF($H6=リスト!$AA$4,"-",
 IF($C6="-","-",
  IF(DB$4&gt;$P6,"-",
   CHOOSE(MATCH($H$3,リスト!$AE$3:$AE$5,0),
    ROUNDUP(
      DB6*IF(DB6*$I6&lt;=$L6,$J6,$I6)*
      IF($P6=1,
         $S6/12,
         IF(DB$4=1,
            $T6/12,
            IF(DB$4=$P6,
               $U6/12,
               1
      ))),0),
    ROUNDDOWN(
      DB6*IF(DB6*$I6&lt;=$L6,$J6,$I6)*
      IF($P6=1,
         $S6/12,
         IF(DB$4=1,
            $T6/12,
            IF(DB$4=$P6,
               $U6/12,
               1
      ))),0),
    ROUND(
      DB6*IF(DB6*$I6&lt;=$L6,$J6,$I6)*
      IF($P6=1,
         $S6/12,
         IF(DB$4=1,
            $T6/12,
            IF(DB$4=$P6,
               $U6/12,
               1
      ))),0)
))))</f>
        <v>-</v>
      </c>
      <c r="DD6" s="56" t="str">
        <f ca="1">IF($H6=リスト!$AA$4,"-",
   IF($C6="-","-",
     IF(DD$4&gt;$P6,"-",
       IF(DD$4=1,$E6,OFFSET(DD6,0,-2)-OFFSET(DD6,0,-1)
))))</f>
        <v>-</v>
      </c>
      <c r="DE6" s="57" t="str">
        <f>IF($H6=リスト!$AA$4,"-",
 IF($C6="-","-",
  IF(DD$4&gt;$P6,"-",
   CHOOSE(MATCH($H$3,リスト!$AE$3:$AE$5,0),
    ROUNDUP(
      DD6*IF(DD6*$I6&lt;=$L6,$J6,$I6)*
      IF($P6=1,
         $S6/12,
         IF(DD$4=1,
            $T6/12,
            IF(DD$4=$P6,
               $U6/12,
               1
      ))),0),
    ROUNDDOWN(
      DD6*IF(DD6*$I6&lt;=$L6,$J6,$I6)*
      IF($P6=1,
         $S6/12,
         IF(DD$4=1,
            $T6/12,
            IF(DD$4=$P6,
               $U6/12,
               1
      ))),0),
    ROUND(
      DD6*IF(DD6*$I6&lt;=$L6,$J6,$I6)*
      IF($P6=1,
         $S6/12,
         IF(DD$4=1,
            $T6/12,
            IF(DD$4=$P6,
               $U6/12,
               1
      ))),0)
))))</f>
        <v>-</v>
      </c>
      <c r="DF6" s="56" t="str">
        <f ca="1">IF($H6=リスト!$AA$4,"-",
   IF($C6="-","-",
     IF(DF$4&gt;$P6,"-",
       IF(DF$4=1,$E6,OFFSET(DF6,0,-2)-OFFSET(DF6,0,-1)
))))</f>
        <v>-</v>
      </c>
      <c r="DG6" s="57" t="str">
        <f>IF($H6=リスト!$AA$4,"-",
 IF($C6="-","-",
  IF(DF$4&gt;$P6,"-",
   CHOOSE(MATCH($H$3,リスト!$AE$3:$AE$5,0),
    ROUNDUP(
      DF6*IF(DF6*$I6&lt;=$L6,$J6,$I6)*
      IF($P6=1,
         $S6/12,
         IF(DF$4=1,
            $T6/12,
            IF(DF$4=$P6,
               $U6/12,
               1
      ))),0),
    ROUNDDOWN(
      DF6*IF(DF6*$I6&lt;=$L6,$J6,$I6)*
      IF($P6=1,
         $S6/12,
         IF(DF$4=1,
            $T6/12,
            IF(DF$4=$P6,
               $U6/12,
               1
      ))),0),
    ROUND(
      DF6*IF(DF6*$I6&lt;=$L6,$J6,$I6)*
      IF($P6=1,
         $S6/12,
         IF(DF$4=1,
            $T6/12,
            IF(DF$4=$P6,
               $U6/12,
               1
      ))),0)
))))</f>
        <v>-</v>
      </c>
      <c r="DH6" s="56" t="str">
        <f ca="1">IF($H6=リスト!$AA$4,"-",
   IF($C6="-","-",
     IF(DH$4&gt;$P6,"-",
       IF(DH$4=1,$E6,OFFSET(DH6,0,-2)-OFFSET(DH6,0,-1)
))))</f>
        <v>-</v>
      </c>
      <c r="DI6" s="57" t="str">
        <f>IF($H6=リスト!$AA$4,"-",
 IF($C6="-","-",
  IF(DH$4&gt;$P6,"-",
   CHOOSE(MATCH($H$3,リスト!$AE$3:$AE$5,0),
    ROUNDUP(
      DH6*IF(DH6*$I6&lt;=$L6,$J6,$I6)*
      IF($P6=1,
         $S6/12,
         IF(DH$4=1,
            $T6/12,
            IF(DH$4=$P6,
               $U6/12,
               1
      ))),0),
    ROUNDDOWN(
      DH6*IF(DH6*$I6&lt;=$L6,$J6,$I6)*
      IF($P6=1,
         $S6/12,
         IF(DH$4=1,
            $T6/12,
            IF(DH$4=$P6,
               $U6/12,
               1
      ))),0),
    ROUND(
      DH6*IF(DH6*$I6&lt;=$L6,$J6,$I6)*
      IF($P6=1,
         $S6/12,
         IF(DH$4=1,
            $T6/12,
            IF(DH$4=$P6,
               $U6/12,
               1
      ))),0)
))))</f>
        <v>-</v>
      </c>
      <c r="DJ6" s="56" t="str">
        <f ca="1">IF($H6=リスト!$AA$4,"-",
   IF($C6="-","-",
     IF(DJ$4&gt;$P6,"-",
       IF(DJ$4=1,$E6,OFFSET(DJ6,0,-2)-OFFSET(DJ6,0,-1)
))))</f>
        <v>-</v>
      </c>
      <c r="DK6" s="57" t="str">
        <f>IF($H6=リスト!$AA$4,"-",
 IF($C6="-","-",
  IF(DJ$4&gt;$P6,"-",
   CHOOSE(MATCH($H$3,リスト!$AE$3:$AE$5,0),
    ROUNDUP(
      DJ6*IF(DJ6*$I6&lt;=$L6,$J6,$I6)*
      IF($P6=1,
         $S6/12,
         IF(DJ$4=1,
            $T6/12,
            IF(DJ$4=$P6,
               $U6/12,
               1
      ))),0),
    ROUNDDOWN(
      DJ6*IF(DJ6*$I6&lt;=$L6,$J6,$I6)*
      IF($P6=1,
         $S6/12,
         IF(DJ$4=1,
            $T6/12,
            IF(DJ$4=$P6,
               $U6/12,
               1
      ))),0),
    ROUND(
      DJ6*IF(DJ6*$I6&lt;=$L6,$J6,$I6)*
      IF($P6=1,
         $S6/12,
         IF(DJ$4=1,
            $T6/12,
            IF(DJ$4=$P6,
               $U6/12,
               1
      ))),0)
))))</f>
        <v>-</v>
      </c>
      <c r="DL6" s="56" t="str">
        <f ca="1">IF($H6=リスト!$AA$4,"-",
   IF($C6="-","-",
     IF(DL$4&gt;$P6,"-",
       IF(DL$4=1,$E6,OFFSET(DL6,0,-2)-OFFSET(DL6,0,-1)
))))</f>
        <v>-</v>
      </c>
      <c r="DM6" s="57" t="str">
        <f>IF($H6=リスト!$AA$4,"-",
 IF($C6="-","-",
  IF(DL$4&gt;$P6,"-",
   CHOOSE(MATCH($H$3,リスト!$AE$3:$AE$5,0),
    ROUNDUP(
      DL6*IF(DL6*$I6&lt;=$L6,$J6,$I6)*
      IF($P6=1,
         $S6/12,
         IF(DL$4=1,
            $T6/12,
            IF(DL$4=$P6,
               $U6/12,
               1
      ))),0),
    ROUNDDOWN(
      DL6*IF(DL6*$I6&lt;=$L6,$J6,$I6)*
      IF($P6=1,
         $S6/12,
         IF(DL$4=1,
            $T6/12,
            IF(DL$4=$P6,
               $U6/12,
               1
      ))),0),
    ROUND(
      DL6*IF(DL6*$I6&lt;=$L6,$J6,$I6)*
      IF($P6=1,
         $S6/12,
         IF(DL$4=1,
            $T6/12,
            IF(DL$4=$P6,
               $U6/12,
               1
      ))),0)
))))</f>
        <v>-</v>
      </c>
      <c r="DN6" s="56" t="str">
        <f ca="1">IF($H6=リスト!$AA$4,"-",
   IF($C6="-","-",
     IF(DN$4&gt;$P6,"-",
       IF(DN$4=1,$E6,OFFSET(DN6,0,-2)-OFFSET(DN6,0,-1)
))))</f>
        <v>-</v>
      </c>
      <c r="DO6" s="57" t="str">
        <f>IF($H6=リスト!$AA$4,"-",
 IF($C6="-","-",
  IF(DN$4&gt;$P6,"-",
   CHOOSE(MATCH($H$3,リスト!$AE$3:$AE$5,0),
    ROUNDUP(
      DN6*IF(DN6*$I6&lt;=$L6,$J6,$I6)*
      IF($P6=1,
         $S6/12,
         IF(DN$4=1,
            $T6/12,
            IF(DN$4=$P6,
               $U6/12,
               1
      ))),0),
    ROUNDDOWN(
      DN6*IF(DN6*$I6&lt;=$L6,$J6,$I6)*
      IF($P6=1,
         $S6/12,
         IF(DN$4=1,
            $T6/12,
            IF(DN$4=$P6,
               $U6/12,
               1
      ))),0),
    ROUND(
      DN6*IF(DN6*$I6&lt;=$L6,$J6,$I6)*
      IF($P6=1,
         $S6/12,
         IF(DN$4=1,
            $T6/12,
            IF(DN$4=$P6,
               $U6/12,
               1
      ))),0)
))))</f>
        <v>-</v>
      </c>
      <c r="DP6" s="56" t="str">
        <f ca="1">IF($H6=リスト!$AA$4,"-",
   IF($C6="-","-",
     IF(DP$4&gt;$P6,"-",
       IF(DP$4=1,$E6,OFFSET(DP6,0,-2)-OFFSET(DP6,0,-1)
))))</f>
        <v>-</v>
      </c>
      <c r="DQ6" s="57" t="str">
        <f>IF($H6=リスト!$AA$4,"-",
 IF($C6="-","-",
  IF(DP$4&gt;$P6,"-",
   CHOOSE(MATCH($H$3,リスト!$AE$3:$AE$5,0),
    ROUNDUP(
      DP6*IF(DP6*$I6&lt;=$L6,$J6,$I6)*
      IF($P6=1,
         $S6/12,
         IF(DP$4=1,
            $T6/12,
            IF(DP$4=$P6,
               $U6/12,
               1
      ))),0),
    ROUNDDOWN(
      DP6*IF(DP6*$I6&lt;=$L6,$J6,$I6)*
      IF($P6=1,
         $S6/12,
         IF(DP$4=1,
            $T6/12,
            IF(DP$4=$P6,
               $U6/12,
               1
      ))),0),
    ROUND(
      DP6*IF(DP6*$I6&lt;=$L6,$J6,$I6)*
      IF($P6=1,
         $S6/12,
         IF(DP$4=1,
            $T6/12,
            IF(DP$4=$P6,
               $U6/12,
               1
      ))),0)
))))</f>
        <v>-</v>
      </c>
      <c r="DR6" s="56" t="str">
        <f ca="1">IF($H6=リスト!$AA$4,"-",
   IF($C6="-","-",
     IF(DR$4&gt;$P6,"-",
       IF(DR$4=1,$E6,OFFSET(DR6,0,-2)-OFFSET(DR6,0,-1)
))))</f>
        <v>-</v>
      </c>
      <c r="DS6" s="57" t="str">
        <f>IF($H6=リスト!$AA$4,"-",
 IF($C6="-","-",
  IF(DR$4&gt;$P6,"-",
   CHOOSE(MATCH($H$3,リスト!$AE$3:$AE$5,0),
    ROUNDUP(
      DR6*IF(DR6*$I6&lt;=$L6,$J6,$I6)*
      IF($P6=1,
         ($G6-$F6+1)/$Q6,
         IF(DR$4=1,
            ($M6-$F6+1)/$Q6,
            IF(DR$4=$P6,
               ($G6-$O6+1)/$R6,
               1
      ))),0),
    ROUNDDOWN(
      DR6*IF(DR6*$I6&lt;=$L6,$J6,$I6)*
      IF($P6=1,
         ($G6-$F6+1)/$Q6,
         IF(DR$4=1,
            ($M6-$F6+1)/$Q6,
            IF(DR$4=$P6,
               ($G6-$O6+1)/$R6,
               1
      ))),0),
    ROUND(
      DR6*IF(DR6*$I6&lt;=$L6,$J6,$I6)*
      IF($P6=1,
         ($G6-$F6+1)/$Q6,
         IF(DR$4=1,
            ($M6-$F6+1)/$Q6,
            IF(DR$4=$P6,
               ($G6-$O6+1)/$R6,
               1
      ))),0)
))))</f>
        <v>-</v>
      </c>
      <c r="DT6" s="56" t="str" cm="1">
        <f t="array" ref="DT6">IF($H6&lt;&gt;リスト!$AA$3,"-",$E6-SUMPRODUCT(IFERROR($Y6:$DS6*1,0), --(MOD(COLUMN($Y6:$DS6)-COLUMN($Y6),2)=0)))</f>
        <v>-</v>
      </c>
      <c r="DU6" s="56" t="str">
        <f>IF($H6&lt;&gt;リスト!$AA$4,"-",
    IF($H$3=リスト!$AE$3,$E6-ROUNDUP($E6*I6*$W6/12,0),
    IF($H$3=リスト!$AE$4,$E6-ROUNDDOWN($E6*I6*$W6/12,0),
    IF($H$3=リスト!$AE$5,$E6-ROUND($E6*I6*$W6/12,0),
    "-"))))</f>
        <v>-</v>
      </c>
    </row>
    <row r="7" spans="2:125">
      <c r="B7" s="54">
        <v>2</v>
      </c>
      <c r="C7" s="55" t="str">
        <f>IF('財産処分報告(災害)用'!$C7="","-",'財産処分報告(災害)用'!$C7)</f>
        <v>-</v>
      </c>
      <c r="D7" s="55" t="str">
        <f>'財産処分報告(災害)用'!$E7</f>
        <v>-</v>
      </c>
      <c r="E7" s="56" t="str">
        <f>IF('財産処分報告(災害)用'!$J7="","-",'財産処分報告(災害)用'!$J7)</f>
        <v>-</v>
      </c>
      <c r="F7" s="101" t="str">
        <f>IF('財産処分報告(災害)用'!$K7="","-",'財産処分報告(災害)用'!$K7)</f>
        <v>-</v>
      </c>
      <c r="G7" s="101" t="str">
        <f>IF('財産処分報告(災害)用'!$L7="","-",'財産処分報告(災害)用'!$L7)</f>
        <v>-</v>
      </c>
      <c r="H7" s="55" t="str">
        <f>IF('財産処分報告(災害)用'!$M7="","-",'財産処分報告(災害)用'!$M7)</f>
        <v>-</v>
      </c>
      <c r="I7" s="55" t="str">
        <f>IF(OR($D7="-",$H7="-"),"-",INDEX(リスト!$AG$2:$AI$101,MATCH($D7,リスト!$AG$2:$AG$101,0),MATCH($H7,リスト!$AG$2:$AI$2,0)))</f>
        <v>-</v>
      </c>
      <c r="J7" s="55" t="str">
        <f>IF(OR($D7="-",$H7="-"),"-",IF($H7=リスト!$AA$4,"-",INDEX(リスト!$AG$2:$AK$101,MATCH($D7,リスト!$AG$2:$AG$101,0),4)))</f>
        <v>-</v>
      </c>
      <c r="K7" s="55" t="str">
        <f>IF(OR($D7="-",$H7="-"),"-",IF($H7=リスト!$AA$4,"-",INDEX(リスト!$AG$2:$AK$101,MATCH($D7,リスト!$AG$2:$AG$101,0),5)))</f>
        <v>-</v>
      </c>
      <c r="L7" s="56" t="str">
        <f t="shared" si="0"/>
        <v>-</v>
      </c>
      <c r="M7" s="101" t="str">
        <f t="shared" ref="M7:M25" si="1">IF(OR($F7="-",$G7="-",$F$3="-"),"-",
   IF($G$3="-",
   IF($F7&lt;=DATE(YEAR($F7),$F$3+1,0),DATE(YEAR($F7),$F$3+1,0),DATE(YEAR($F7)+1,$F$3+1,0)),
   IF($F7&lt;=DATE(YEAR($F7),$F$3,$G$3),DATE(YEAR($F7),$F$3,$G$3),DATE(YEAR($F7)+1,$F$3,$G$3))
))</f>
        <v>-</v>
      </c>
      <c r="N7" s="101" t="str">
        <f t="shared" ref="N7:N25" si="2">IF(OR($F7="-",$G7="-",$F$3="-"),"-",
   IF($G$3="-",
   IF($G7&lt;=DATE(YEAR($G7),$F$3+1,0),DATE(YEAR($G7),$F$3+1,0),DATE(YEAR($G7)+1,$F$3+1,0)),
   IF($G7&lt;=DATE(YEAR($G7),$F$3,$G$3),DATE(YEAR($G7),$F$3,$G$3),DATE(YEAR($G7)+1,$F$3,$G$3))
))</f>
        <v>-</v>
      </c>
      <c r="O7" s="101" t="str">
        <f t="shared" ref="O7:O25" si="3">IF(OR($F7="-",$G7="-",$F$3="-"),"-",
   IF($G$3="-",
   DATE(YEAR($N7)-1,$F$3+1,0)+1,
   DATE(YEAR($N7)-1,$F$3,$G$3)+1
))</f>
        <v>-</v>
      </c>
      <c r="P7" s="102" t="str">
        <f t="shared" ref="P7:P25" si="4">IF($C7="-","-",
 (YEAR($G7)+IF($G$3="-",
   IF(MONTH($G7)&gt;$F$3,1,0),
   IF(OR(MONTH($G7)&gt;$F$3,AND(MONTH($G7)=$F$3,DAY($G7)&gt;$G$3)),1,0)
 ))
 -(YEAR($F7)+IF($G$3="-",
   IF(MONTH($F7)&gt;$F$3,1,0),
   IF(OR(MONTH($F7)&gt;$F$3,AND(MONTH($F7)=$F$3,DAY($F7)&gt;$G$3)),1,0)
 ))
 +1
)</f>
        <v>-</v>
      </c>
      <c r="Q7" s="115" t="str">
        <f t="shared" ref="Q7:Q25" si="5">IF($C7="-","-",
 $M7-IF($G$3="-",
        DATE(YEAR($M7)-1,$F$3+1,0),
        DATE(YEAR($M7)-1,$F$3,$G$3)
))</f>
        <v>-</v>
      </c>
      <c r="R7" s="116" t="str">
        <f t="shared" ref="R7:R25" si="6">IF($C7="-","-",
 $N7-$O7+1
)</f>
        <v>-</v>
      </c>
      <c r="S7" s="102" t="str">
        <f t="shared" ref="S7:S25" si="7">IF(OR($F7="-",$G7="-",$F$3="-"),"-",
   MAX(0,12*(YEAR($G7)-YEAR($F7))+MONTH($G7)-MONTH($F7)+IF(DAY($G7)&gt;=DAY($F7),1,0))
)</f>
        <v>-</v>
      </c>
      <c r="T7" s="102" t="str">
        <f t="shared" ref="T7:T25" si="8">IF(OR($F7="-",$G7="-",$F$3="-"),"-",
   MAX(0,12*(YEAR($M7)-YEAR($F7))+MONTH($M7)-MONTH($F7)+IF(DAY($M7)&gt;=DAY($F7),1,0))
)</f>
        <v>-</v>
      </c>
      <c r="U7" s="102" t="str">
        <f t="shared" ref="U7:U25" si="9">IF(OR($F7="-",$G7="-",$F$3="-"),"-",
   MAX(0,12*(YEAR($G7)-YEAR($O7))+MONTH($G7)-MONTH($O7)+IF(DAY($G7)&gt;=DAY($O7),1,0))
)</f>
        <v>-</v>
      </c>
      <c r="V7" s="102" t="str">
        <f t="shared" ref="V7:V25" si="10">IF(OR($F7="-",$G7="-",$F$3="-"),"-",
   MAX(0,YEAR($N7)-YEAR($M7)-1)*12
)</f>
        <v>-</v>
      </c>
      <c r="W7" s="55" t="str">
        <f t="shared" ref="W7:W25" si="11">IF(OR($F7="-",$G7="-",$F$3="-"),"-",
   IF(OR($F7="-",$G7="-",$G7&lt;$F7),"-",
   IF($M7=$N7,$S7,$T7+$V7+$U7)
))</f>
        <v>-</v>
      </c>
      <c r="X7" s="56" t="str">
        <f ca="1">IF($H7=リスト!$AA$4,"-",
   IF($C7="-","-",
     IF(X$4&gt;$P7,"-",
       IF(X$4=1,$E7,OFFSET(X7,0,-2)-OFFSET(X7,0,-1)
))))</f>
        <v>-</v>
      </c>
      <c r="Y7" s="57" t="str">
        <f>IF($H7=リスト!$AA$4,"-",
 IF($C7="-","-",
  IF(X$4&gt;$P7,"-",
   CHOOSE(MATCH($H$3,リスト!$AE$3:$AE$5,0),
    ROUNDUP(
      X7*IF(X7*$I7&lt;=$L7,$J7,$I7)*
      IF($P7=1,
         $S7/12,
         IF(X$4=1,
            $T7/12,
            IF(X$4=$P7,
               $U7/12,
               1
      ))),0),
    ROUNDDOWN(
      X7*IF(X7*$I7&lt;=$L7,$J7,$I7)*
      IF($P7=1,
         $S7/12,
         IF(X$4=1,
            $T7/12,
            IF(X$4=$P7,
               $U7/12,
               1
      ))),0),
    ROUND(
      X7*IF(X7*$I7&lt;=$L7,$J7,$I7)*
      IF($P7=1,
         $S7/12,
         IF(X$4=1,
            $T7/12,
            IF(X$4=$P7,
               $U7/12,
               1
      ))),0)
))))</f>
        <v>-</v>
      </c>
      <c r="Z7" s="56" t="str">
        <f ca="1">IF($H7=リスト!$AA$4,"-",
   IF($C7="-","-",
     IF(Z$4&gt;$P7,"-",
       IF(Z$4=1,$E7,OFFSET(Z7,0,-2)-OFFSET(Z7,0,-1)
))))</f>
        <v>-</v>
      </c>
      <c r="AA7" s="57" t="str">
        <f>IF($H7=リスト!$AA$4,"-",
 IF($C7="-","-",
  IF(Z$4&gt;$P7,"-",
   CHOOSE(MATCH($H$3,リスト!$AE$3:$AE$5,0),
    ROUNDUP(
      Z7*IF(Z7*$I7&lt;=$L7,$J7,$I7)*
      IF($P7=1,
         $S7/12,
         IF(Z$4=1,
            $T7/12,
            IF(Z$4=$P7,
               $U7/12,
               1
      ))),0),
    ROUNDDOWN(
      Z7*IF(Z7*$I7&lt;=$L7,$J7,$I7)*
      IF($P7=1,
         $S7/12,
         IF(Z$4=1,
            $T7/12,
            IF(Z$4=$P7,
               $U7/12,
               1
      ))),0),
    ROUND(
      Z7*IF(Z7*$I7&lt;=$L7,$J7,$I7)*
      IF($P7=1,
         $S7/12,
         IF(Z$4=1,
            $T7/12,
            IF(Z$4=$P7,
               $U7/12,
               1
      ))),0)
))))</f>
        <v>-</v>
      </c>
      <c r="AB7" s="56" t="str">
        <f ca="1">IF($H7=リスト!$AA$4,"-",
   IF($C7="-","-",
     IF(AB$4&gt;$P7,"-",
       IF(AB$4=1,$E7,OFFSET(AB7,0,-2)-OFFSET(AB7,0,-1)
))))</f>
        <v>-</v>
      </c>
      <c r="AC7" s="57" t="str">
        <f>IF($H7=リスト!$AA$4,"-",
 IF($C7="-","-",
  IF(AB$4&gt;$P7,"-",
   CHOOSE(MATCH($H$3,リスト!$AE$3:$AE$5,0),
    ROUNDUP(
      AB7*IF(AB7*$I7&lt;=$L7,$J7,$I7)*
      IF($P7=1,
         $S7/12,
         IF(AB$4=1,
            $T7/12,
            IF(AB$4=$P7,
               $U7/12,
               1
      ))),0),
    ROUNDDOWN(
      AB7*IF(AB7*$I7&lt;=$L7,$J7,$I7)*
      IF($P7=1,
         $S7/12,
         IF(AB$4=1,
            $T7/12,
            IF(AB$4=$P7,
               $U7/12,
               1
      ))),0),
    ROUND(
      AB7*IF(AB7*$I7&lt;=$L7,$J7,$I7)*
      IF($P7=1,
         $S7/12,
         IF(AB$4=1,
            $T7/12,
            IF(AB$4=$P7,
               $U7/12,
               1
      ))),0)
))))</f>
        <v>-</v>
      </c>
      <c r="AD7" s="56" t="str">
        <f ca="1">IF($H7=リスト!$AA$4,"-",
   IF($C7="-","-",
     IF(AD$4&gt;$P7,"-",
       IF(AD$4=1,$E7,OFFSET(AD7,0,-2)-OFFSET(AD7,0,-1)
))))</f>
        <v>-</v>
      </c>
      <c r="AE7" s="57" t="str">
        <f>IF($H7=リスト!$AA$4,"-",
 IF($C7="-","-",
  IF(AD$4&gt;$P7,"-",
   CHOOSE(MATCH($H$3,リスト!$AE$3:$AE$5,0),
    ROUNDUP(
      AD7*IF(AD7*$I7&lt;=$L7,$J7,$I7)*
      IF($P7=1,
         $S7/12,
         IF(AD$4=1,
            $T7/12,
            IF(AD$4=$P7,
               $U7/12,
               1
      ))),0),
    ROUNDDOWN(
      AD7*IF(AD7*$I7&lt;=$L7,$J7,$I7)*
      IF($P7=1,
         $S7/12,
         IF(AD$4=1,
            $T7/12,
            IF(AD$4=$P7,
               $U7/12,
               1
      ))),0),
    ROUND(
      AD7*IF(AD7*$I7&lt;=$L7,$J7,$I7)*
      IF($P7=1,
         $S7/12,
         IF(AD$4=1,
            $T7/12,
            IF(AD$4=$P7,
               $U7/12,
               1
      ))),0)
))))</f>
        <v>-</v>
      </c>
      <c r="AF7" s="56" t="str">
        <f ca="1">IF($H7=リスト!$AA$4,"-",
   IF($C7="-","-",
     IF(AF$4&gt;$P7,"-",
       IF(AF$4=1,$E7,OFFSET(AF7,0,-2)-OFFSET(AF7,0,-1)
))))</f>
        <v>-</v>
      </c>
      <c r="AG7" s="57" t="str">
        <f>IF($H7=リスト!$AA$4,"-",
 IF($C7="-","-",
  IF(AF$4&gt;$P7,"-",
   CHOOSE(MATCH($H$3,リスト!$AE$3:$AE$5,0),
    ROUNDUP(
      AF7*IF(AF7*$I7&lt;=$L7,$J7,$I7)*
      IF($P7=1,
         $S7/12,
         IF(AF$4=1,
            $T7/12,
            IF(AF$4=$P7,
               $U7/12,
               1
      ))),0),
    ROUNDDOWN(
      AF7*IF(AF7*$I7&lt;=$L7,$J7,$I7)*
      IF($P7=1,
         $S7/12,
         IF(AF$4=1,
            $T7/12,
            IF(AF$4=$P7,
               $U7/12,
               1
      ))),0),
    ROUND(
      AF7*IF(AF7*$I7&lt;=$L7,$J7,$I7)*
      IF($P7=1,
         $S7/12,
         IF(AF$4=1,
            $T7/12,
            IF(AF$4=$P7,
               $U7/12,
               1
      ))),0)
))))</f>
        <v>-</v>
      </c>
      <c r="AH7" s="56" t="str">
        <f ca="1">IF($H7=リスト!$AA$4,"-",
   IF($C7="-","-",
     IF(AH$4&gt;$P7,"-",
       IF(AH$4=1,$E7,OFFSET(AH7,0,-2)-OFFSET(AH7,0,-1)
))))</f>
        <v>-</v>
      </c>
      <c r="AI7" s="57" t="str">
        <f>IF($H7=リスト!$AA$4,"-",
 IF($C7="-","-",
  IF(AH$4&gt;$P7,"-",
   CHOOSE(MATCH($H$3,リスト!$AE$3:$AE$5,0),
    ROUNDUP(
      AH7*IF(AH7*$I7&lt;=$L7,$J7,$I7)*
      IF($P7=1,
         $S7/12,
         IF(AH$4=1,
            $T7/12,
            IF(AH$4=$P7,
               $U7/12,
               1
      ))),0),
    ROUNDDOWN(
      AH7*IF(AH7*$I7&lt;=$L7,$J7,$I7)*
      IF($P7=1,
         $S7/12,
         IF(AH$4=1,
            $T7/12,
            IF(AH$4=$P7,
               $U7/12,
               1
      ))),0),
    ROUND(
      AH7*IF(AH7*$I7&lt;=$L7,$J7,$I7)*
      IF($P7=1,
         $S7/12,
         IF(AH$4=1,
            $T7/12,
            IF(AH$4=$P7,
               $U7/12,
               1
      ))),0)
))))</f>
        <v>-</v>
      </c>
      <c r="AJ7" s="56" t="str">
        <f ca="1">IF($H7=リスト!$AA$4,"-",
   IF($C7="-","-",
     IF(AJ$4&gt;$P7,"-",
       IF(AJ$4=1,$E7,OFFSET(AJ7,0,-2)-OFFSET(AJ7,0,-1)
))))</f>
        <v>-</v>
      </c>
      <c r="AK7" s="57" t="str">
        <f>IF($H7=リスト!$AA$4,"-",
 IF($C7="-","-",
  IF(AJ$4&gt;$P7,"-",
   CHOOSE(MATCH($H$3,リスト!$AE$3:$AE$5,0),
    ROUNDUP(
      AJ7*IF(AJ7*$I7&lt;=$L7,$J7,$I7)*
      IF($P7=1,
         $S7/12,
         IF(AJ$4=1,
            $T7/12,
            IF(AJ$4=$P7,
               $U7/12,
               1
      ))),0),
    ROUNDDOWN(
      AJ7*IF(AJ7*$I7&lt;=$L7,$J7,$I7)*
      IF($P7=1,
         $S7/12,
         IF(AJ$4=1,
            $T7/12,
            IF(AJ$4=$P7,
               $U7/12,
               1
      ))),0),
    ROUND(
      AJ7*IF(AJ7*$I7&lt;=$L7,$J7,$I7)*
      IF($P7=1,
         $S7/12,
         IF(AJ$4=1,
            $T7/12,
            IF(AJ$4=$P7,
               $U7/12,
               1
      ))),0)
))))</f>
        <v>-</v>
      </c>
      <c r="AL7" s="56" t="str">
        <f ca="1">IF($H7=リスト!$AA$4,"-",
   IF($C7="-","-",
     IF(AL$4&gt;$P7,"-",
       IF(AL$4=1,$E7,OFFSET(AL7,0,-2)-OFFSET(AL7,0,-1)
))))</f>
        <v>-</v>
      </c>
      <c r="AM7" s="57" t="str">
        <f>IF($H7=リスト!$AA$4,"-",
 IF($C7="-","-",
  IF(AL$4&gt;$P7,"-",
   CHOOSE(MATCH($H$3,リスト!$AE$3:$AE$5,0),
    ROUNDUP(
      AL7*IF(AL7*$I7&lt;=$L7,$J7,$I7)*
      IF($P7=1,
         $S7/12,
         IF(AL$4=1,
            $T7/12,
            IF(AL$4=$P7,
               $U7/12,
               1
      ))),0),
    ROUNDDOWN(
      AL7*IF(AL7*$I7&lt;=$L7,$J7,$I7)*
      IF($P7=1,
         $S7/12,
         IF(AL$4=1,
            $T7/12,
            IF(AL$4=$P7,
               $U7/12,
               1
      ))),0),
    ROUND(
      AL7*IF(AL7*$I7&lt;=$L7,$J7,$I7)*
      IF($P7=1,
         $S7/12,
         IF(AL$4=1,
            $T7/12,
            IF(AL$4=$P7,
               $U7/12,
               1
      ))),0)
))))</f>
        <v>-</v>
      </c>
      <c r="AN7" s="56" t="str">
        <f ca="1">IF($H7=リスト!$AA$4,"-",
   IF($C7="-","-",
     IF(AN$4&gt;$P7,"-",
       IF(AN$4=1,$E7,OFFSET(AN7,0,-2)-OFFSET(AN7,0,-1)
))))</f>
        <v>-</v>
      </c>
      <c r="AO7" s="57" t="str">
        <f>IF($H7=リスト!$AA$4,"-",
 IF($C7="-","-",
  IF(AN$4&gt;$P7,"-",
   CHOOSE(MATCH($H$3,リスト!$AE$3:$AE$5,0),
    ROUNDUP(
      AN7*IF(AN7*$I7&lt;=$L7,$J7,$I7)*
      IF($P7=1,
         $S7/12,
         IF(AN$4=1,
            $T7/12,
            IF(AN$4=$P7,
               $U7/12,
               1
      ))),0),
    ROUNDDOWN(
      AN7*IF(AN7*$I7&lt;=$L7,$J7,$I7)*
      IF($P7=1,
         $S7/12,
         IF(AN$4=1,
            $T7/12,
            IF(AN$4=$P7,
               $U7/12,
               1
      ))),0),
    ROUND(
      AN7*IF(AN7*$I7&lt;=$L7,$J7,$I7)*
      IF($P7=1,
         $S7/12,
         IF(AN$4=1,
            $T7/12,
            IF(AN$4=$P7,
               $U7/12,
               1
      ))),0)
))))</f>
        <v>-</v>
      </c>
      <c r="AP7" s="56" t="str">
        <f ca="1">IF($H7=リスト!$AA$4,"-",
   IF($C7="-","-",
     IF(AP$4&gt;$P7,"-",
       IF(AP$4=1,$E7,OFFSET(AP7,0,-2)-OFFSET(AP7,0,-1)
))))</f>
        <v>-</v>
      </c>
      <c r="AQ7" s="57" t="str">
        <f>IF($H7=リスト!$AA$4,"-",
 IF($C7="-","-",
  IF(AP$4&gt;$P7,"-",
   CHOOSE(MATCH($H$3,リスト!$AE$3:$AE$5,0),
    ROUNDUP(
      AP7*IF(AP7*$I7&lt;=$L7,$J7,$I7)*
      IF($P7=1,
         $S7/12,
         IF(AP$4=1,
            $T7/12,
            IF(AP$4=$P7,
               $U7/12,
               1
      ))),0),
    ROUNDDOWN(
      AP7*IF(AP7*$I7&lt;=$L7,$J7,$I7)*
      IF($P7=1,
         $S7/12,
         IF(AP$4=1,
            $T7/12,
            IF(AP$4=$P7,
               $U7/12,
               1
      ))),0),
    ROUND(
      AP7*IF(AP7*$I7&lt;=$L7,$J7,$I7)*
      IF($P7=1,
         $S7/12,
         IF(AP$4=1,
            $T7/12,
            IF(AP$4=$P7,
               $U7/12,
               1
      ))),0)
))))</f>
        <v>-</v>
      </c>
      <c r="AR7" s="56" t="str">
        <f ca="1">IF($H7=リスト!$AA$4,"-",
   IF($C7="-","-",
     IF(AR$4&gt;$P7,"-",
       IF(AR$4=1,$E7,OFFSET(AR7,0,-2)-OFFSET(AR7,0,-1)
))))</f>
        <v>-</v>
      </c>
      <c r="AS7" s="57" t="str">
        <f>IF($H7=リスト!$AA$4,"-",
 IF($C7="-","-",
  IF(AR$4&gt;$P7,"-",
   CHOOSE(MATCH($H$3,リスト!$AE$3:$AE$5,0),
    ROUNDUP(
      AR7*IF(AR7*$I7&lt;=$L7,$J7,$I7)*
      IF($P7=1,
         $S7/12,
         IF(AR$4=1,
            $T7/12,
            IF(AR$4=$P7,
               $U7/12,
               1
      ))),0),
    ROUNDDOWN(
      AR7*IF(AR7*$I7&lt;=$L7,$J7,$I7)*
      IF($P7=1,
         $S7/12,
         IF(AR$4=1,
            $T7/12,
            IF(AR$4=$P7,
               $U7/12,
               1
      ))),0),
    ROUND(
      AR7*IF(AR7*$I7&lt;=$L7,$J7,$I7)*
      IF($P7=1,
         $S7/12,
         IF(AR$4=1,
            $T7/12,
            IF(AR$4=$P7,
               $U7/12,
               1
      ))),0)
))))</f>
        <v>-</v>
      </c>
      <c r="AT7" s="56" t="str">
        <f ca="1">IF($H7=リスト!$AA$4,"-",
   IF($C7="-","-",
     IF(AT$4&gt;$P7,"-",
       IF(AT$4=1,$E7,OFFSET(AT7,0,-2)-OFFSET(AT7,0,-1)
))))</f>
        <v>-</v>
      </c>
      <c r="AU7" s="57" t="str">
        <f>IF($H7=リスト!$AA$4,"-",
 IF($C7="-","-",
  IF(AT$4&gt;$P7,"-",
   CHOOSE(MATCH($H$3,リスト!$AE$3:$AE$5,0),
    ROUNDUP(
      AT7*IF(AT7*$I7&lt;=$L7,$J7,$I7)*
      IF($P7=1,
         $S7/12,
         IF(AT$4=1,
            $T7/12,
            IF(AT$4=$P7,
               $U7/12,
               1
      ))),0),
    ROUNDDOWN(
      AT7*IF(AT7*$I7&lt;=$L7,$J7,$I7)*
      IF($P7=1,
         $S7/12,
         IF(AT$4=1,
            $T7/12,
            IF(AT$4=$P7,
               $U7/12,
               1
      ))),0),
    ROUND(
      AT7*IF(AT7*$I7&lt;=$L7,$J7,$I7)*
      IF($P7=1,
         $S7/12,
         IF(AT$4=1,
            $T7/12,
            IF(AT$4=$P7,
               $U7/12,
               1
      ))),0)
))))</f>
        <v>-</v>
      </c>
      <c r="AV7" s="56" t="str">
        <f ca="1">IF($H7=リスト!$AA$4,"-",
   IF($C7="-","-",
     IF(AV$4&gt;$P7,"-",
       IF(AV$4=1,$E7,OFFSET(AV7,0,-2)-OFFSET(AV7,0,-1)
))))</f>
        <v>-</v>
      </c>
      <c r="AW7" s="57" t="str">
        <f>IF($H7=リスト!$AA$4,"-",
 IF($C7="-","-",
  IF(AV$4&gt;$P7,"-",
   CHOOSE(MATCH($H$3,リスト!$AE$3:$AE$5,0),
    ROUNDUP(
      AV7*IF(AV7*$I7&lt;=$L7,$J7,$I7)*
      IF($P7=1,
         $S7/12,
         IF(AV$4=1,
            $T7/12,
            IF(AV$4=$P7,
               $U7/12,
               1
      ))),0),
    ROUNDDOWN(
      AV7*IF(AV7*$I7&lt;=$L7,$J7,$I7)*
      IF($P7=1,
         $S7/12,
         IF(AV$4=1,
            $T7/12,
            IF(AV$4=$P7,
               $U7/12,
               1
      ))),0),
    ROUND(
      AV7*IF(AV7*$I7&lt;=$L7,$J7,$I7)*
      IF($P7=1,
         $S7/12,
         IF(AV$4=1,
            $T7/12,
            IF(AV$4=$P7,
               $U7/12,
               1
      ))),0)
))))</f>
        <v>-</v>
      </c>
      <c r="AX7" s="56" t="str">
        <f ca="1">IF($H7=リスト!$AA$4,"-",
   IF($C7="-","-",
     IF(AX$4&gt;$P7,"-",
       IF(AX$4=1,$E7,OFFSET(AX7,0,-2)-OFFSET(AX7,0,-1)
))))</f>
        <v>-</v>
      </c>
      <c r="AY7" s="57" t="str">
        <f>IF($H7=リスト!$AA$4,"-",
 IF($C7="-","-",
  IF(AX$4&gt;$P7,"-",
   CHOOSE(MATCH($H$3,リスト!$AE$3:$AE$5,0),
    ROUNDUP(
      AX7*IF(AX7*$I7&lt;=$L7,$J7,$I7)*
      IF($P7=1,
         $S7/12,
         IF(AX$4=1,
            $T7/12,
            IF(AX$4=$P7,
               $U7/12,
               1
      ))),0),
    ROUNDDOWN(
      AX7*IF(AX7*$I7&lt;=$L7,$J7,$I7)*
      IF($P7=1,
         $S7/12,
         IF(AX$4=1,
            $T7/12,
            IF(AX$4=$P7,
               $U7/12,
               1
      ))),0),
    ROUND(
      AX7*IF(AX7*$I7&lt;=$L7,$J7,$I7)*
      IF($P7=1,
         $S7/12,
         IF(AX$4=1,
            $T7/12,
            IF(AX$4=$P7,
               $U7/12,
               1
      ))),0)
))))</f>
        <v>-</v>
      </c>
      <c r="AZ7" s="56" t="str">
        <f ca="1">IF($H7=リスト!$AA$4,"-",
   IF($C7="-","-",
     IF(AZ$4&gt;$P7,"-",
       IF(AZ$4=1,$E7,OFFSET(AZ7,0,-2)-OFFSET(AZ7,0,-1)
))))</f>
        <v>-</v>
      </c>
      <c r="BA7" s="57" t="str">
        <f>IF($H7=リスト!$AA$4,"-",
 IF($C7="-","-",
  IF(AZ$4&gt;$P7,"-",
   CHOOSE(MATCH($H$3,リスト!$AE$3:$AE$5,0),
    ROUNDUP(
      AZ7*IF(AZ7*$I7&lt;=$L7,$J7,$I7)*
      IF($P7=1,
         $S7/12,
         IF(AZ$4=1,
            $T7/12,
            IF(AZ$4=$P7,
               $U7/12,
               1
      ))),0),
    ROUNDDOWN(
      AZ7*IF(AZ7*$I7&lt;=$L7,$J7,$I7)*
      IF($P7=1,
         $S7/12,
         IF(AZ$4=1,
            $T7/12,
            IF(AZ$4=$P7,
               $U7/12,
               1
      ))),0),
    ROUND(
      AZ7*IF(AZ7*$I7&lt;=$L7,$J7,$I7)*
      IF($P7=1,
         $S7/12,
         IF(AZ$4=1,
            $T7/12,
            IF(AZ$4=$P7,
               $U7/12,
               1
      ))),0)
))))</f>
        <v>-</v>
      </c>
      <c r="BB7" s="56" t="str">
        <f ca="1">IF($H7=リスト!$AA$4,"-",
   IF($C7="-","-",
     IF(BB$4&gt;$P7,"-",
       IF(BB$4=1,$E7,OFFSET(BB7,0,-2)-OFFSET(BB7,0,-1)
))))</f>
        <v>-</v>
      </c>
      <c r="BC7" s="57" t="str">
        <f>IF($H7=リスト!$AA$4,"-",
 IF($C7="-","-",
  IF(BB$4&gt;$P7,"-",
   CHOOSE(MATCH($H$3,リスト!$AE$3:$AE$5,0),
    ROUNDUP(
      BB7*IF(BB7*$I7&lt;=$L7,$J7,$I7)*
      IF($P7=1,
         $S7/12,
         IF(BB$4=1,
            $T7/12,
            IF(BB$4=$P7,
               $U7/12,
               1
      ))),0),
    ROUNDDOWN(
      BB7*IF(BB7*$I7&lt;=$L7,$J7,$I7)*
      IF($P7=1,
         $S7/12,
         IF(BB$4=1,
            $T7/12,
            IF(BB$4=$P7,
               $U7/12,
               1
      ))),0),
    ROUND(
      BB7*IF(BB7*$I7&lt;=$L7,$J7,$I7)*
      IF($P7=1,
         $S7/12,
         IF(BB$4=1,
            $T7/12,
            IF(BB$4=$P7,
               $U7/12,
               1
      ))),0)
))))</f>
        <v>-</v>
      </c>
      <c r="BD7" s="56" t="str">
        <f ca="1">IF($H7=リスト!$AA$4,"-",
   IF($C7="-","-",
     IF(BD$4&gt;$P7,"-",
       IF(BD$4=1,$E7,OFFSET(BD7,0,-2)-OFFSET(BD7,0,-1)
))))</f>
        <v>-</v>
      </c>
      <c r="BE7" s="57" t="str">
        <f>IF($H7=リスト!$AA$4,"-",
 IF($C7="-","-",
  IF(BD$4&gt;$P7,"-",
   CHOOSE(MATCH($H$3,リスト!$AE$3:$AE$5,0),
    ROUNDUP(
      BD7*IF(BD7*$I7&lt;=$L7,$J7,$I7)*
      IF($P7=1,
         $S7/12,
         IF(BD$4=1,
            $T7/12,
            IF(BD$4=$P7,
               $U7/12,
               1
      ))),0),
    ROUNDDOWN(
      BD7*IF(BD7*$I7&lt;=$L7,$J7,$I7)*
      IF($P7=1,
         $S7/12,
         IF(BD$4=1,
            $T7/12,
            IF(BD$4=$P7,
               $U7/12,
               1
      ))),0),
    ROUND(
      BD7*IF(BD7*$I7&lt;=$L7,$J7,$I7)*
      IF($P7=1,
         $S7/12,
         IF(BD$4=1,
            $T7/12,
            IF(BD$4=$P7,
               $U7/12,
               1
      ))),0)
))))</f>
        <v>-</v>
      </c>
      <c r="BF7" s="56" t="str">
        <f ca="1">IF($H7=リスト!$AA$4,"-",
   IF($C7="-","-",
     IF(BF$4&gt;$P7,"-",
       IF(BF$4=1,$E7,OFFSET(BF7,0,-2)-OFFSET(BF7,0,-1)
))))</f>
        <v>-</v>
      </c>
      <c r="BG7" s="57" t="str">
        <f>IF($H7=リスト!$AA$4,"-",
 IF($C7="-","-",
  IF(BF$4&gt;$P7,"-",
   CHOOSE(MATCH($H$3,リスト!$AE$3:$AE$5,0),
    ROUNDUP(
      BF7*IF(BF7*$I7&lt;=$L7,$J7,$I7)*
      IF($P7=1,
         $S7/12,
         IF(BF$4=1,
            $T7/12,
            IF(BF$4=$P7,
               $U7/12,
               1
      ))),0),
    ROUNDDOWN(
      BF7*IF(BF7*$I7&lt;=$L7,$J7,$I7)*
      IF($P7=1,
         $S7/12,
         IF(BF$4=1,
            $T7/12,
            IF(BF$4=$P7,
               $U7/12,
               1
      ))),0),
    ROUND(
      BF7*IF(BF7*$I7&lt;=$L7,$J7,$I7)*
      IF($P7=1,
         $S7/12,
         IF(BF$4=1,
            $T7/12,
            IF(BF$4=$P7,
               $U7/12,
               1
      ))),0)
))))</f>
        <v>-</v>
      </c>
      <c r="BH7" s="56" t="str">
        <f ca="1">IF($H7=リスト!$AA$4,"-",
   IF($C7="-","-",
     IF(BH$4&gt;$P7,"-",
       IF(BH$4=1,$E7,OFFSET(BH7,0,-2)-OFFSET(BH7,0,-1)
))))</f>
        <v>-</v>
      </c>
      <c r="BI7" s="57" t="str">
        <f>IF($H7=リスト!$AA$4,"-",
 IF($C7="-","-",
  IF(BH$4&gt;$P7,"-",
   CHOOSE(MATCH($H$3,リスト!$AE$3:$AE$5,0),
    ROUNDUP(
      BH7*IF(BH7*$I7&lt;=$L7,$J7,$I7)*
      IF($P7=1,
         $S7/12,
         IF(BH$4=1,
            $T7/12,
            IF(BH$4=$P7,
               $U7/12,
               1
      ))),0),
    ROUNDDOWN(
      BH7*IF(BH7*$I7&lt;=$L7,$J7,$I7)*
      IF($P7=1,
         $S7/12,
         IF(BH$4=1,
            $T7/12,
            IF(BH$4=$P7,
               $U7/12,
               1
      ))),0),
    ROUND(
      BH7*IF(BH7*$I7&lt;=$L7,$J7,$I7)*
      IF($P7=1,
         $S7/12,
         IF(BH$4=1,
            $T7/12,
            IF(BH$4=$P7,
               $U7/12,
               1
      ))),0)
))))</f>
        <v>-</v>
      </c>
      <c r="BJ7" s="56" t="str">
        <f ca="1">IF($H7=リスト!$AA$4,"-",
   IF($C7="-","-",
     IF(BJ$4&gt;$P7,"-",
       IF(BJ$4=1,$E7,OFFSET(BJ7,0,-2)-OFFSET(BJ7,0,-1)
))))</f>
        <v>-</v>
      </c>
      <c r="BK7" s="57" t="str">
        <f>IF($H7=リスト!$AA$4,"-",
 IF($C7="-","-",
  IF(BJ$4&gt;$P7,"-",
   CHOOSE(MATCH($H$3,リスト!$AE$3:$AE$5,0),
    ROUNDUP(
      BJ7*IF(BJ7*$I7&lt;=$L7,$J7,$I7)*
      IF($P7=1,
         $S7/12,
         IF(BJ$4=1,
            $T7/12,
            IF(BJ$4=$P7,
               $U7/12,
               1
      ))),0),
    ROUNDDOWN(
      BJ7*IF(BJ7*$I7&lt;=$L7,$J7,$I7)*
      IF($P7=1,
         $S7/12,
         IF(BJ$4=1,
            $T7/12,
            IF(BJ$4=$P7,
               $U7/12,
               1
      ))),0),
    ROUND(
      BJ7*IF(BJ7*$I7&lt;=$L7,$J7,$I7)*
      IF($P7=1,
         $S7/12,
         IF(BJ$4=1,
            $T7/12,
            IF(BJ$4=$P7,
               $U7/12,
               1
      ))),0)
))))</f>
        <v>-</v>
      </c>
      <c r="BL7" s="56" t="str">
        <f ca="1">IF($H7=リスト!$AA$4,"-",
   IF($C7="-","-",
     IF(BL$4&gt;$P7,"-",
       IF(BL$4=1,$E7,OFFSET(BL7,0,-2)-OFFSET(BL7,0,-1)
))))</f>
        <v>-</v>
      </c>
      <c r="BM7" s="57" t="str">
        <f>IF($H7=リスト!$AA$4,"-",
 IF($C7="-","-",
  IF(BL$4&gt;$P7,"-",
   CHOOSE(MATCH($H$3,リスト!$AE$3:$AE$5,0),
    ROUNDUP(
      BL7*IF(BL7*$I7&lt;=$L7,$J7,$I7)*
      IF($P7=1,
         $S7/12,
         IF(BL$4=1,
            $T7/12,
            IF(BL$4=$P7,
               $U7/12,
               1
      ))),0),
    ROUNDDOWN(
      BL7*IF(BL7*$I7&lt;=$L7,$J7,$I7)*
      IF($P7=1,
         $S7/12,
         IF(BL$4=1,
            $T7/12,
            IF(BL$4=$P7,
               $U7/12,
               1
      ))),0),
    ROUND(
      BL7*IF(BL7*$I7&lt;=$L7,$J7,$I7)*
      IF($P7=1,
         $S7/12,
         IF(BL$4=1,
            $T7/12,
            IF(BL$4=$P7,
               $U7/12,
               1
      ))),0)
))))</f>
        <v>-</v>
      </c>
      <c r="BN7" s="56" t="str">
        <f ca="1">IF($H7=リスト!$AA$4,"-",
   IF($C7="-","-",
     IF(BN$4&gt;$P7,"-",
       IF(BN$4=1,$E7,OFFSET(BN7,0,-2)-OFFSET(BN7,0,-1)
))))</f>
        <v>-</v>
      </c>
      <c r="BO7" s="57" t="str">
        <f>IF($H7=リスト!$AA$4,"-",
 IF($C7="-","-",
  IF(BN$4&gt;$P7,"-",
   CHOOSE(MATCH($H$3,リスト!$AE$3:$AE$5,0),
    ROUNDUP(
      BN7*IF(BN7*$I7&lt;=$L7,$J7,$I7)*
      IF($P7=1,
         $S7/12,
         IF(BN$4=1,
            $T7/12,
            IF(BN$4=$P7,
               $U7/12,
               1
      ))),0),
    ROUNDDOWN(
      BN7*IF(BN7*$I7&lt;=$L7,$J7,$I7)*
      IF($P7=1,
         $S7/12,
         IF(BN$4=1,
            $T7/12,
            IF(BN$4=$P7,
               $U7/12,
               1
      ))),0),
    ROUND(
      BN7*IF(BN7*$I7&lt;=$L7,$J7,$I7)*
      IF($P7=1,
         $S7/12,
         IF(BN$4=1,
            $T7/12,
            IF(BN$4=$P7,
               $U7/12,
               1
      ))),0)
))))</f>
        <v>-</v>
      </c>
      <c r="BP7" s="56" t="str">
        <f ca="1">IF($H7=リスト!$AA$4,"-",
   IF($C7="-","-",
     IF(BP$4&gt;$P7,"-",
       IF(BP$4=1,$E7,OFFSET(BP7,0,-2)-OFFSET(BP7,0,-1)
))))</f>
        <v>-</v>
      </c>
      <c r="BQ7" s="57" t="str">
        <f>IF($H7=リスト!$AA$4,"-",
 IF($C7="-","-",
  IF(BP$4&gt;$P7,"-",
   CHOOSE(MATCH($H$3,リスト!$AE$3:$AE$5,0),
    ROUNDUP(
      BP7*IF(BP7*$I7&lt;=$L7,$J7,$I7)*
      IF($P7=1,
         $S7/12,
         IF(BP$4=1,
            $T7/12,
            IF(BP$4=$P7,
               $U7/12,
               1
      ))),0),
    ROUNDDOWN(
      BP7*IF(BP7*$I7&lt;=$L7,$J7,$I7)*
      IF($P7=1,
         $S7/12,
         IF(BP$4=1,
            $T7/12,
            IF(BP$4=$P7,
               $U7/12,
               1
      ))),0),
    ROUND(
      BP7*IF(BP7*$I7&lt;=$L7,$J7,$I7)*
      IF($P7=1,
         $S7/12,
         IF(BP$4=1,
            $T7/12,
            IF(BP$4=$P7,
               $U7/12,
               1
      ))),0)
))))</f>
        <v>-</v>
      </c>
      <c r="BR7" s="56" t="str">
        <f ca="1">IF($H7=リスト!$AA$4,"-",
   IF($C7="-","-",
     IF(BR$4&gt;$P7,"-",
       IF(BR$4=1,$E7,OFFSET(BR7,0,-2)-OFFSET(BR7,0,-1)
))))</f>
        <v>-</v>
      </c>
      <c r="BS7" s="57" t="str">
        <f>IF($H7=リスト!$AA$4,"-",
 IF($C7="-","-",
  IF(BR$4&gt;$P7,"-",
   CHOOSE(MATCH($H$3,リスト!$AE$3:$AE$5,0),
    ROUNDUP(
      BR7*IF(BR7*$I7&lt;=$L7,$J7,$I7)*
      IF($P7=1,
         $S7/12,
         IF(BR$4=1,
            $T7/12,
            IF(BR$4=$P7,
               $U7/12,
               1
      ))),0),
    ROUNDDOWN(
      BR7*IF(BR7*$I7&lt;=$L7,$J7,$I7)*
      IF($P7=1,
         $S7/12,
         IF(BR$4=1,
            $T7/12,
            IF(BR$4=$P7,
               $U7/12,
               1
      ))),0),
    ROUND(
      BR7*IF(BR7*$I7&lt;=$L7,$J7,$I7)*
      IF($P7=1,
         $S7/12,
         IF(BR$4=1,
            $T7/12,
            IF(BR$4=$P7,
               $U7/12,
               1
      ))),0)
))))</f>
        <v>-</v>
      </c>
      <c r="BT7" s="56" t="str">
        <f ca="1">IF($H7=リスト!$AA$4,"-",
   IF($C7="-","-",
     IF(BT$4&gt;$P7,"-",
       IF(BT$4=1,$E7,OFFSET(BT7,0,-2)-OFFSET(BT7,0,-1)
))))</f>
        <v>-</v>
      </c>
      <c r="BU7" s="57" t="str">
        <f>IF($H7=リスト!$AA$4,"-",
 IF($C7="-","-",
  IF(BT$4&gt;$P7,"-",
   CHOOSE(MATCH($H$3,リスト!$AE$3:$AE$5,0),
    ROUNDUP(
      BT7*IF(BT7*$I7&lt;=$L7,$J7,$I7)*
      IF($P7=1,
         $S7/12,
         IF(BT$4=1,
            $T7/12,
            IF(BT$4=$P7,
               $U7/12,
               1
      ))),0),
    ROUNDDOWN(
      BT7*IF(BT7*$I7&lt;=$L7,$J7,$I7)*
      IF($P7=1,
         $S7/12,
         IF(BT$4=1,
            $T7/12,
            IF(BT$4=$P7,
               $U7/12,
               1
      ))),0),
    ROUND(
      BT7*IF(BT7*$I7&lt;=$L7,$J7,$I7)*
      IF($P7=1,
         $S7/12,
         IF(BT$4=1,
            $T7/12,
            IF(BT$4=$P7,
               $U7/12,
               1
      ))),0)
))))</f>
        <v>-</v>
      </c>
      <c r="BV7" s="56" t="str">
        <f ca="1">IF($H7=リスト!$AA$4,"-",
   IF($C7="-","-",
     IF(BV$4&gt;$P7,"-",
       IF(BV$4=1,$E7,OFFSET(BV7,0,-2)-OFFSET(BV7,0,-1)
))))</f>
        <v>-</v>
      </c>
      <c r="BW7" s="57" t="str">
        <f>IF($H7=リスト!$AA$4,"-",
 IF($C7="-","-",
  IF(BV$4&gt;$P7,"-",
   CHOOSE(MATCH($H$3,リスト!$AE$3:$AE$5,0),
    ROUNDUP(
      BV7*IF(BV7*$I7&lt;=$L7,$J7,$I7)*
      IF($P7=1,
         $S7/12,
         IF(BV$4=1,
            $T7/12,
            IF(BV$4=$P7,
               $U7/12,
               1
      ))),0),
    ROUNDDOWN(
      BV7*IF(BV7*$I7&lt;=$L7,$J7,$I7)*
      IF($P7=1,
         $S7/12,
         IF(BV$4=1,
            $T7/12,
            IF(BV$4=$P7,
               $U7/12,
               1
      ))),0),
    ROUND(
      BV7*IF(BV7*$I7&lt;=$L7,$J7,$I7)*
      IF($P7=1,
         $S7/12,
         IF(BV$4=1,
            $T7/12,
            IF(BV$4=$P7,
               $U7/12,
               1
      ))),0)
))))</f>
        <v>-</v>
      </c>
      <c r="BX7" s="56" t="str">
        <f ca="1">IF($H7=リスト!$AA$4,"-",
   IF($C7="-","-",
     IF(BX$4&gt;$P7,"-",
       IF(BX$4=1,$E7,OFFSET(BX7,0,-2)-OFFSET(BX7,0,-1)
))))</f>
        <v>-</v>
      </c>
      <c r="BY7" s="57" t="str">
        <f>IF($H7=リスト!$AA$4,"-",
 IF($C7="-","-",
  IF(BX$4&gt;$P7,"-",
   CHOOSE(MATCH($H$3,リスト!$AE$3:$AE$5,0),
    ROUNDUP(
      BX7*IF(BX7*$I7&lt;=$L7,$J7,$I7)*
      IF($P7=1,
         $S7/12,
         IF(BX$4=1,
            $T7/12,
            IF(BX$4=$P7,
               $U7/12,
               1
      ))),0),
    ROUNDDOWN(
      BX7*IF(BX7*$I7&lt;=$L7,$J7,$I7)*
      IF($P7=1,
         $S7/12,
         IF(BX$4=1,
            $T7/12,
            IF(BX$4=$P7,
               $U7/12,
               1
      ))),0),
    ROUND(
      BX7*IF(BX7*$I7&lt;=$L7,$J7,$I7)*
      IF($P7=1,
         $S7/12,
         IF(BX$4=1,
            $T7/12,
            IF(BX$4=$P7,
               $U7/12,
               1
      ))),0)
))))</f>
        <v>-</v>
      </c>
      <c r="BZ7" s="56" t="str">
        <f ca="1">IF($H7=リスト!$AA$4,"-",
   IF($C7="-","-",
     IF(BZ$4&gt;$P7,"-",
       IF(BZ$4=1,$E7,OFFSET(BZ7,0,-2)-OFFSET(BZ7,0,-1)
))))</f>
        <v>-</v>
      </c>
      <c r="CA7" s="57" t="str">
        <f>IF($H7=リスト!$AA$4,"-",
 IF($C7="-","-",
  IF(BZ$4&gt;$P7,"-",
   CHOOSE(MATCH($H$3,リスト!$AE$3:$AE$5,0),
    ROUNDUP(
      BZ7*IF(BZ7*$I7&lt;=$L7,$J7,$I7)*
      IF($P7=1,
         $S7/12,
         IF(BZ$4=1,
            $T7/12,
            IF(BZ$4=$P7,
               $U7/12,
               1
      ))),0),
    ROUNDDOWN(
      BZ7*IF(BZ7*$I7&lt;=$L7,$J7,$I7)*
      IF($P7=1,
         $S7/12,
         IF(BZ$4=1,
            $T7/12,
            IF(BZ$4=$P7,
               $U7/12,
               1
      ))),0),
    ROUND(
      BZ7*IF(BZ7*$I7&lt;=$L7,$J7,$I7)*
      IF($P7=1,
         $S7/12,
         IF(BZ$4=1,
            $T7/12,
            IF(BZ$4=$P7,
               $U7/12,
               1
      ))),0)
))))</f>
        <v>-</v>
      </c>
      <c r="CB7" s="56" t="str">
        <f ca="1">IF($H7=リスト!$AA$4,"-",
   IF($C7="-","-",
     IF(CB$4&gt;$P7,"-",
       IF(CB$4=1,$E7,OFFSET(CB7,0,-2)-OFFSET(CB7,0,-1)
))))</f>
        <v>-</v>
      </c>
      <c r="CC7" s="57" t="str">
        <f>IF($H7=リスト!$AA$4,"-",
 IF($C7="-","-",
  IF(CB$4&gt;$P7,"-",
   CHOOSE(MATCH($H$3,リスト!$AE$3:$AE$5,0),
    ROUNDUP(
      CB7*IF(CB7*$I7&lt;=$L7,$J7,$I7)*
      IF($P7=1,
         $S7/12,
         IF(CB$4=1,
            $T7/12,
            IF(CB$4=$P7,
               $U7/12,
               1
      ))),0),
    ROUNDDOWN(
      CB7*IF(CB7*$I7&lt;=$L7,$J7,$I7)*
      IF($P7=1,
         $S7/12,
         IF(CB$4=1,
            $T7/12,
            IF(CB$4=$P7,
               $U7/12,
               1
      ))),0),
    ROUND(
      CB7*IF(CB7*$I7&lt;=$L7,$J7,$I7)*
      IF($P7=1,
         $S7/12,
         IF(CB$4=1,
            $T7/12,
            IF(CB$4=$P7,
               $U7/12,
               1
      ))),0)
))))</f>
        <v>-</v>
      </c>
      <c r="CD7" s="56" t="str">
        <f ca="1">IF($H7=リスト!$AA$4,"-",
   IF($C7="-","-",
     IF(CD$4&gt;$P7,"-",
       IF(CD$4=1,$E7,OFFSET(CD7,0,-2)-OFFSET(CD7,0,-1)
))))</f>
        <v>-</v>
      </c>
      <c r="CE7" s="57" t="str">
        <f>IF($H7=リスト!$AA$4,"-",
 IF($C7="-","-",
  IF(CD$4&gt;$P7,"-",
   CHOOSE(MATCH($H$3,リスト!$AE$3:$AE$5,0),
    ROUNDUP(
      CD7*IF(CD7*$I7&lt;=$L7,$J7,$I7)*
      IF($P7=1,
         $S7/12,
         IF(CD$4=1,
            $T7/12,
            IF(CD$4=$P7,
               $U7/12,
               1
      ))),0),
    ROUNDDOWN(
      CD7*IF(CD7*$I7&lt;=$L7,$J7,$I7)*
      IF($P7=1,
         $S7/12,
         IF(CD$4=1,
            $T7/12,
            IF(CD$4=$P7,
               $U7/12,
               1
      ))),0),
    ROUND(
      CD7*IF(CD7*$I7&lt;=$L7,$J7,$I7)*
      IF($P7=1,
         $S7/12,
         IF(CD$4=1,
            $T7/12,
            IF(CD$4=$P7,
               $U7/12,
               1
      ))),0)
))))</f>
        <v>-</v>
      </c>
      <c r="CF7" s="56" t="str">
        <f ca="1">IF($H7=リスト!$AA$4,"-",
   IF($C7="-","-",
     IF(CF$4&gt;$P7,"-",
       IF(CF$4=1,$E7,OFFSET(CF7,0,-2)-OFFSET(CF7,0,-1)
))))</f>
        <v>-</v>
      </c>
      <c r="CG7" s="57" t="str">
        <f>IF($H7=リスト!$AA$4,"-",
 IF($C7="-","-",
  IF(CF$4&gt;$P7,"-",
   CHOOSE(MATCH($H$3,リスト!$AE$3:$AE$5,0),
    ROUNDUP(
      CF7*IF(CF7*$I7&lt;=$L7,$J7,$I7)*
      IF($P7=1,
         $S7/12,
         IF(CF$4=1,
            $T7/12,
            IF(CF$4=$P7,
               $U7/12,
               1
      ))),0),
    ROUNDDOWN(
      CF7*IF(CF7*$I7&lt;=$L7,$J7,$I7)*
      IF($P7=1,
         $S7/12,
         IF(CF$4=1,
            $T7/12,
            IF(CF$4=$P7,
               $U7/12,
               1
      ))),0),
    ROUND(
      CF7*IF(CF7*$I7&lt;=$L7,$J7,$I7)*
      IF($P7=1,
         $S7/12,
         IF(CF$4=1,
            $T7/12,
            IF(CF$4=$P7,
               $U7/12,
               1
      ))),0)
))))</f>
        <v>-</v>
      </c>
      <c r="CH7" s="56" t="str">
        <f ca="1">IF($H7=リスト!$AA$4,"-",
   IF($C7="-","-",
     IF(CH$4&gt;$P7,"-",
       IF(CH$4=1,$E7,OFFSET(CH7,0,-2)-OFFSET(CH7,0,-1)
))))</f>
        <v>-</v>
      </c>
      <c r="CI7" s="57" t="str">
        <f>IF($H7=リスト!$AA$4,"-",
 IF($C7="-","-",
  IF(CH$4&gt;$P7,"-",
   CHOOSE(MATCH($H$3,リスト!$AE$3:$AE$5,0),
    ROUNDUP(
      CH7*IF(CH7*$I7&lt;=$L7,$J7,$I7)*
      IF($P7=1,
         $S7/12,
         IF(CH$4=1,
            $T7/12,
            IF(CH$4=$P7,
               $U7/12,
               1
      ))),0),
    ROUNDDOWN(
      CH7*IF(CH7*$I7&lt;=$L7,$J7,$I7)*
      IF($P7=1,
         $S7/12,
         IF(CH$4=1,
            $T7/12,
            IF(CH$4=$P7,
               $U7/12,
               1
      ))),0),
    ROUND(
      CH7*IF(CH7*$I7&lt;=$L7,$J7,$I7)*
      IF($P7=1,
         $S7/12,
         IF(CH$4=1,
            $T7/12,
            IF(CH$4=$P7,
               $U7/12,
               1
      ))),0)
))))</f>
        <v>-</v>
      </c>
      <c r="CJ7" s="56" t="str">
        <f ca="1">IF($H7=リスト!$AA$4,"-",
   IF($C7="-","-",
     IF(CJ$4&gt;$P7,"-",
       IF(CJ$4=1,$E7,OFFSET(CJ7,0,-2)-OFFSET(CJ7,0,-1)
))))</f>
        <v>-</v>
      </c>
      <c r="CK7" s="57" t="str">
        <f>IF($H7=リスト!$AA$4,"-",
 IF($C7="-","-",
  IF(CJ$4&gt;$P7,"-",
   CHOOSE(MATCH($H$3,リスト!$AE$3:$AE$5,0),
    ROUNDUP(
      CJ7*IF(CJ7*$I7&lt;=$L7,$J7,$I7)*
      IF($P7=1,
         $S7/12,
         IF(CJ$4=1,
            $T7/12,
            IF(CJ$4=$P7,
               $U7/12,
               1
      ))),0),
    ROUNDDOWN(
      CJ7*IF(CJ7*$I7&lt;=$L7,$J7,$I7)*
      IF($P7=1,
         $S7/12,
         IF(CJ$4=1,
            $T7/12,
            IF(CJ$4=$P7,
               $U7/12,
               1
      ))),0),
    ROUND(
      CJ7*IF(CJ7*$I7&lt;=$L7,$J7,$I7)*
      IF($P7=1,
         $S7/12,
         IF(CJ$4=1,
            $T7/12,
            IF(CJ$4=$P7,
               $U7/12,
               1
      ))),0)
))))</f>
        <v>-</v>
      </c>
      <c r="CL7" s="56" t="str">
        <f ca="1">IF($H7=リスト!$AA$4,"-",
   IF($C7="-","-",
     IF(CL$4&gt;$P7,"-",
       IF(CL$4=1,$E7,OFFSET(CL7,0,-2)-OFFSET(CL7,0,-1)
))))</f>
        <v>-</v>
      </c>
      <c r="CM7" s="57" t="str">
        <f>IF($H7=リスト!$AA$4,"-",
 IF($C7="-","-",
  IF(CL$4&gt;$P7,"-",
   CHOOSE(MATCH($H$3,リスト!$AE$3:$AE$5,0),
    ROUNDUP(
      CL7*IF(CL7*$I7&lt;=$L7,$J7,$I7)*
      IF($P7=1,
         $S7/12,
         IF(CL$4=1,
            $T7/12,
            IF(CL$4=$P7,
               $U7/12,
               1
      ))),0),
    ROUNDDOWN(
      CL7*IF(CL7*$I7&lt;=$L7,$J7,$I7)*
      IF($P7=1,
         $S7/12,
         IF(CL$4=1,
            $T7/12,
            IF(CL$4=$P7,
               $U7/12,
               1
      ))),0),
    ROUND(
      CL7*IF(CL7*$I7&lt;=$L7,$J7,$I7)*
      IF($P7=1,
         $S7/12,
         IF(CL$4=1,
            $T7/12,
            IF(CL$4=$P7,
               $U7/12,
               1
      ))),0)
))))</f>
        <v>-</v>
      </c>
      <c r="CN7" s="56" t="str">
        <f ca="1">IF($H7=リスト!$AA$4,"-",
   IF($C7="-","-",
     IF(CN$4&gt;$P7,"-",
       IF(CN$4=1,$E7,OFFSET(CN7,0,-2)-OFFSET(CN7,0,-1)
))))</f>
        <v>-</v>
      </c>
      <c r="CO7" s="57" t="str">
        <f>IF($H7=リスト!$AA$4,"-",
 IF($C7="-","-",
  IF(CN$4&gt;$P7,"-",
   CHOOSE(MATCH($H$3,リスト!$AE$3:$AE$5,0),
    ROUNDUP(
      CN7*IF(CN7*$I7&lt;=$L7,$J7,$I7)*
      IF($P7=1,
         $S7/12,
         IF(CN$4=1,
            $T7/12,
            IF(CN$4=$P7,
               $U7/12,
               1
      ))),0),
    ROUNDDOWN(
      CN7*IF(CN7*$I7&lt;=$L7,$J7,$I7)*
      IF($P7=1,
         $S7/12,
         IF(CN$4=1,
            $T7/12,
            IF(CN$4=$P7,
               $U7/12,
               1
      ))),0),
    ROUND(
      CN7*IF(CN7*$I7&lt;=$L7,$J7,$I7)*
      IF($P7=1,
         $S7/12,
         IF(CN$4=1,
            $T7/12,
            IF(CN$4=$P7,
               $U7/12,
               1
      ))),0)
))))</f>
        <v>-</v>
      </c>
      <c r="CP7" s="56" t="str">
        <f ca="1">IF($H7=リスト!$AA$4,"-",
   IF($C7="-","-",
     IF(CP$4&gt;$P7,"-",
       IF(CP$4=1,$E7,OFFSET(CP7,0,-2)-OFFSET(CP7,0,-1)
))))</f>
        <v>-</v>
      </c>
      <c r="CQ7" s="57" t="str">
        <f>IF($H7=リスト!$AA$4,"-",
 IF($C7="-","-",
  IF(CP$4&gt;$P7,"-",
   CHOOSE(MATCH($H$3,リスト!$AE$3:$AE$5,0),
    ROUNDUP(
      CP7*IF(CP7*$I7&lt;=$L7,$J7,$I7)*
      IF($P7=1,
         $S7/12,
         IF(CP$4=1,
            $T7/12,
            IF(CP$4=$P7,
               $U7/12,
               1
      ))),0),
    ROUNDDOWN(
      CP7*IF(CP7*$I7&lt;=$L7,$J7,$I7)*
      IF($P7=1,
         $S7/12,
         IF(CP$4=1,
            $T7/12,
            IF(CP$4=$P7,
               $U7/12,
               1
      ))),0),
    ROUND(
      CP7*IF(CP7*$I7&lt;=$L7,$J7,$I7)*
      IF($P7=1,
         $S7/12,
         IF(CP$4=1,
            $T7/12,
            IF(CP$4=$P7,
               $U7/12,
               1
      ))),0)
))))</f>
        <v>-</v>
      </c>
      <c r="CR7" s="56" t="str">
        <f ca="1">IF($H7=リスト!$AA$4,"-",
   IF($C7="-","-",
     IF(CR$4&gt;$P7,"-",
       IF(CR$4=1,$E7,OFFSET(CR7,0,-2)-OFFSET(CR7,0,-1)
))))</f>
        <v>-</v>
      </c>
      <c r="CS7" s="57" t="str">
        <f>IF($H7=リスト!$AA$4,"-",
 IF($C7="-","-",
  IF(CR$4&gt;$P7,"-",
   CHOOSE(MATCH($H$3,リスト!$AE$3:$AE$5,0),
    ROUNDUP(
      CR7*IF(CR7*$I7&lt;=$L7,$J7,$I7)*
      IF($P7=1,
         $S7/12,
         IF(CR$4=1,
            $T7/12,
            IF(CR$4=$P7,
               $U7/12,
               1
      ))),0),
    ROUNDDOWN(
      CR7*IF(CR7*$I7&lt;=$L7,$J7,$I7)*
      IF($P7=1,
         $S7/12,
         IF(CR$4=1,
            $T7/12,
            IF(CR$4=$P7,
               $U7/12,
               1
      ))),0),
    ROUND(
      CR7*IF(CR7*$I7&lt;=$L7,$J7,$I7)*
      IF($P7=1,
         $S7/12,
         IF(CR$4=1,
            $T7/12,
            IF(CR$4=$P7,
               $U7/12,
               1
      ))),0)
))))</f>
        <v>-</v>
      </c>
      <c r="CT7" s="56" t="str">
        <f ca="1">IF($H7=リスト!$AA$4,"-",
   IF($C7="-","-",
     IF(CT$4&gt;$P7,"-",
       IF(CT$4=1,$E7,OFFSET(CT7,0,-2)-OFFSET(CT7,0,-1)
))))</f>
        <v>-</v>
      </c>
      <c r="CU7" s="57" t="str">
        <f>IF($H7=リスト!$AA$4,"-",
 IF($C7="-","-",
  IF(CT$4&gt;$P7,"-",
   CHOOSE(MATCH($H$3,リスト!$AE$3:$AE$5,0),
    ROUNDUP(
      CT7*IF(CT7*$I7&lt;=$L7,$J7,$I7)*
      IF($P7=1,
         $S7/12,
         IF(CT$4=1,
            $T7/12,
            IF(CT$4=$P7,
               $U7/12,
               1
      ))),0),
    ROUNDDOWN(
      CT7*IF(CT7*$I7&lt;=$L7,$J7,$I7)*
      IF($P7=1,
         $S7/12,
         IF(CT$4=1,
            $T7/12,
            IF(CT$4=$P7,
               $U7/12,
               1
      ))),0),
    ROUND(
      CT7*IF(CT7*$I7&lt;=$L7,$J7,$I7)*
      IF($P7=1,
         $S7/12,
         IF(CT$4=1,
            $T7/12,
            IF(CT$4=$P7,
               $U7/12,
               1
      ))),0)
))))</f>
        <v>-</v>
      </c>
      <c r="CV7" s="56" t="str">
        <f ca="1">IF($H7=リスト!$AA$4,"-",
   IF($C7="-","-",
     IF(CV$4&gt;$P7,"-",
       IF(CV$4=1,$E7,OFFSET(CV7,0,-2)-OFFSET(CV7,0,-1)
))))</f>
        <v>-</v>
      </c>
      <c r="CW7" s="57" t="str">
        <f>IF($H7=リスト!$AA$4,"-",
 IF($C7="-","-",
  IF(CV$4&gt;$P7,"-",
   CHOOSE(MATCH($H$3,リスト!$AE$3:$AE$5,0),
    ROUNDUP(
      CV7*IF(CV7*$I7&lt;=$L7,$J7,$I7)*
      IF($P7=1,
         $S7/12,
         IF(CV$4=1,
            $T7/12,
            IF(CV$4=$P7,
               $U7/12,
               1
      ))),0),
    ROUNDDOWN(
      CV7*IF(CV7*$I7&lt;=$L7,$J7,$I7)*
      IF($P7=1,
         $S7/12,
         IF(CV$4=1,
            $T7/12,
            IF(CV$4=$P7,
               $U7/12,
               1
      ))),0),
    ROUND(
      CV7*IF(CV7*$I7&lt;=$L7,$J7,$I7)*
      IF($P7=1,
         $S7/12,
         IF(CV$4=1,
            $T7/12,
            IF(CV$4=$P7,
               $U7/12,
               1
      ))),0)
))))</f>
        <v>-</v>
      </c>
      <c r="CX7" s="56" t="str">
        <f ca="1">IF($H7=リスト!$AA$4,"-",
   IF($C7="-","-",
     IF(CX$4&gt;$P7,"-",
       IF(CX$4=1,$E7,OFFSET(CX7,0,-2)-OFFSET(CX7,0,-1)
))))</f>
        <v>-</v>
      </c>
      <c r="CY7" s="57" t="str">
        <f>IF($H7=リスト!$AA$4,"-",
 IF($C7="-","-",
  IF(CX$4&gt;$P7,"-",
   CHOOSE(MATCH($H$3,リスト!$AE$3:$AE$5,0),
    ROUNDUP(
      CX7*IF(CX7*$I7&lt;=$L7,$J7,$I7)*
      IF($P7=1,
         $S7/12,
         IF(CX$4=1,
            $T7/12,
            IF(CX$4=$P7,
               $U7/12,
               1
      ))),0),
    ROUNDDOWN(
      CX7*IF(CX7*$I7&lt;=$L7,$J7,$I7)*
      IF($P7=1,
         $S7/12,
         IF(CX$4=1,
            $T7/12,
            IF(CX$4=$P7,
               $U7/12,
               1
      ))),0),
    ROUND(
      CX7*IF(CX7*$I7&lt;=$L7,$J7,$I7)*
      IF($P7=1,
         $S7/12,
         IF(CX$4=1,
            $T7/12,
            IF(CX$4=$P7,
               $U7/12,
               1
      ))),0)
))))</f>
        <v>-</v>
      </c>
      <c r="CZ7" s="56" t="str">
        <f ca="1">IF($H7=リスト!$AA$4,"-",
   IF($C7="-","-",
     IF(CZ$4&gt;$P7,"-",
       IF(CZ$4=1,$E7,OFFSET(CZ7,0,-2)-OFFSET(CZ7,0,-1)
))))</f>
        <v>-</v>
      </c>
      <c r="DA7" s="57" t="str">
        <f>IF($H7=リスト!$AA$4,"-",
 IF($C7="-","-",
  IF(CZ$4&gt;$P7,"-",
   CHOOSE(MATCH($H$3,リスト!$AE$3:$AE$5,0),
    ROUNDUP(
      CZ7*IF(CZ7*$I7&lt;=$L7,$J7,$I7)*
      IF($P7=1,
         $S7/12,
         IF(CZ$4=1,
            $T7/12,
            IF(CZ$4=$P7,
               $U7/12,
               1
      ))),0),
    ROUNDDOWN(
      CZ7*IF(CZ7*$I7&lt;=$L7,$J7,$I7)*
      IF($P7=1,
         $S7/12,
         IF(CZ$4=1,
            $T7/12,
            IF(CZ$4=$P7,
               $U7/12,
               1
      ))),0),
    ROUND(
      CZ7*IF(CZ7*$I7&lt;=$L7,$J7,$I7)*
      IF($P7=1,
         $S7/12,
         IF(CZ$4=1,
            $T7/12,
            IF(CZ$4=$P7,
               $U7/12,
               1
      ))),0)
))))</f>
        <v>-</v>
      </c>
      <c r="DB7" s="56" t="str">
        <f ca="1">IF($H7=リスト!$AA$4,"-",
   IF($C7="-","-",
     IF(DB$4&gt;$P7,"-",
       IF(DB$4=1,$E7,OFFSET(DB7,0,-2)-OFFSET(DB7,0,-1)
))))</f>
        <v>-</v>
      </c>
      <c r="DC7" s="57" t="str">
        <f>IF($H7=リスト!$AA$4,"-",
 IF($C7="-","-",
  IF(DB$4&gt;$P7,"-",
   CHOOSE(MATCH($H$3,リスト!$AE$3:$AE$5,0),
    ROUNDUP(
      DB7*IF(DB7*$I7&lt;=$L7,$J7,$I7)*
      IF($P7=1,
         $S7/12,
         IF(DB$4=1,
            $T7/12,
            IF(DB$4=$P7,
               $U7/12,
               1
      ))),0),
    ROUNDDOWN(
      DB7*IF(DB7*$I7&lt;=$L7,$J7,$I7)*
      IF($P7=1,
         $S7/12,
         IF(DB$4=1,
            $T7/12,
            IF(DB$4=$P7,
               $U7/12,
               1
      ))),0),
    ROUND(
      DB7*IF(DB7*$I7&lt;=$L7,$J7,$I7)*
      IF($P7=1,
         $S7/12,
         IF(DB$4=1,
            $T7/12,
            IF(DB$4=$P7,
               $U7/12,
               1
      ))),0)
))))</f>
        <v>-</v>
      </c>
      <c r="DD7" s="56" t="str">
        <f ca="1">IF($H7=リスト!$AA$4,"-",
   IF($C7="-","-",
     IF(DD$4&gt;$P7,"-",
       IF(DD$4=1,$E7,OFFSET(DD7,0,-2)-OFFSET(DD7,0,-1)
))))</f>
        <v>-</v>
      </c>
      <c r="DE7" s="57" t="str">
        <f>IF($H7=リスト!$AA$4,"-",
 IF($C7="-","-",
  IF(DD$4&gt;$P7,"-",
   CHOOSE(MATCH($H$3,リスト!$AE$3:$AE$5,0),
    ROUNDUP(
      DD7*IF(DD7*$I7&lt;=$L7,$J7,$I7)*
      IF($P7=1,
         $S7/12,
         IF(DD$4=1,
            $T7/12,
            IF(DD$4=$P7,
               $U7/12,
               1
      ))),0),
    ROUNDDOWN(
      DD7*IF(DD7*$I7&lt;=$L7,$J7,$I7)*
      IF($P7=1,
         $S7/12,
         IF(DD$4=1,
            $T7/12,
            IF(DD$4=$P7,
               $U7/12,
               1
      ))),0),
    ROUND(
      DD7*IF(DD7*$I7&lt;=$L7,$J7,$I7)*
      IF($P7=1,
         $S7/12,
         IF(DD$4=1,
            $T7/12,
            IF(DD$4=$P7,
               $U7/12,
               1
      ))),0)
))))</f>
        <v>-</v>
      </c>
      <c r="DF7" s="56" t="str">
        <f ca="1">IF($H7=リスト!$AA$4,"-",
   IF($C7="-","-",
     IF(DF$4&gt;$P7,"-",
       IF(DF$4=1,$E7,OFFSET(DF7,0,-2)-OFFSET(DF7,0,-1)
))))</f>
        <v>-</v>
      </c>
      <c r="DG7" s="57" t="str">
        <f>IF($H7=リスト!$AA$4,"-",
 IF($C7="-","-",
  IF(DF$4&gt;$P7,"-",
   CHOOSE(MATCH($H$3,リスト!$AE$3:$AE$5,0),
    ROUNDUP(
      DF7*IF(DF7*$I7&lt;=$L7,$J7,$I7)*
      IF($P7=1,
         $S7/12,
         IF(DF$4=1,
            $T7/12,
            IF(DF$4=$P7,
               $U7/12,
               1
      ))),0),
    ROUNDDOWN(
      DF7*IF(DF7*$I7&lt;=$L7,$J7,$I7)*
      IF($P7=1,
         $S7/12,
         IF(DF$4=1,
            $T7/12,
            IF(DF$4=$P7,
               $U7/12,
               1
      ))),0),
    ROUND(
      DF7*IF(DF7*$I7&lt;=$L7,$J7,$I7)*
      IF($P7=1,
         $S7/12,
         IF(DF$4=1,
            $T7/12,
            IF(DF$4=$P7,
               $U7/12,
               1
      ))),0)
))))</f>
        <v>-</v>
      </c>
      <c r="DH7" s="56" t="str">
        <f ca="1">IF($H7=リスト!$AA$4,"-",
   IF($C7="-","-",
     IF(DH$4&gt;$P7,"-",
       IF(DH$4=1,$E7,OFFSET(DH7,0,-2)-OFFSET(DH7,0,-1)
))))</f>
        <v>-</v>
      </c>
      <c r="DI7" s="57" t="str">
        <f>IF($H7=リスト!$AA$4,"-",
 IF($C7="-","-",
  IF(DH$4&gt;$P7,"-",
   CHOOSE(MATCH($H$3,リスト!$AE$3:$AE$5,0),
    ROUNDUP(
      DH7*IF(DH7*$I7&lt;=$L7,$J7,$I7)*
      IF($P7=1,
         $S7/12,
         IF(DH$4=1,
            $T7/12,
            IF(DH$4=$P7,
               $U7/12,
               1
      ))),0),
    ROUNDDOWN(
      DH7*IF(DH7*$I7&lt;=$L7,$J7,$I7)*
      IF($P7=1,
         $S7/12,
         IF(DH$4=1,
            $T7/12,
            IF(DH$4=$P7,
               $U7/12,
               1
      ))),0),
    ROUND(
      DH7*IF(DH7*$I7&lt;=$L7,$J7,$I7)*
      IF($P7=1,
         $S7/12,
         IF(DH$4=1,
            $T7/12,
            IF(DH$4=$P7,
               $U7/12,
               1
      ))),0)
))))</f>
        <v>-</v>
      </c>
      <c r="DJ7" s="56" t="str">
        <f ca="1">IF($H7=リスト!$AA$4,"-",
   IF($C7="-","-",
     IF(DJ$4&gt;$P7,"-",
       IF(DJ$4=1,$E7,OFFSET(DJ7,0,-2)-OFFSET(DJ7,0,-1)
))))</f>
        <v>-</v>
      </c>
      <c r="DK7" s="57" t="str">
        <f>IF($H7=リスト!$AA$4,"-",
 IF($C7="-","-",
  IF(DJ$4&gt;$P7,"-",
   CHOOSE(MATCH($H$3,リスト!$AE$3:$AE$5,0),
    ROUNDUP(
      DJ7*IF(DJ7*$I7&lt;=$L7,$J7,$I7)*
      IF($P7=1,
         $S7/12,
         IF(DJ$4=1,
            $T7/12,
            IF(DJ$4=$P7,
               $U7/12,
               1
      ))),0),
    ROUNDDOWN(
      DJ7*IF(DJ7*$I7&lt;=$L7,$J7,$I7)*
      IF($P7=1,
         $S7/12,
         IF(DJ$4=1,
            $T7/12,
            IF(DJ$4=$P7,
               $U7/12,
               1
      ))),0),
    ROUND(
      DJ7*IF(DJ7*$I7&lt;=$L7,$J7,$I7)*
      IF($P7=1,
         $S7/12,
         IF(DJ$4=1,
            $T7/12,
            IF(DJ$4=$P7,
               $U7/12,
               1
      ))),0)
))))</f>
        <v>-</v>
      </c>
      <c r="DL7" s="56" t="str">
        <f ca="1">IF($H7=リスト!$AA$4,"-",
   IF($C7="-","-",
     IF(DL$4&gt;$P7,"-",
       IF(DL$4=1,$E7,OFFSET(DL7,0,-2)-OFFSET(DL7,0,-1)
))))</f>
        <v>-</v>
      </c>
      <c r="DM7" s="57" t="str">
        <f>IF($H7=リスト!$AA$4,"-",
 IF($C7="-","-",
  IF(DL$4&gt;$P7,"-",
   CHOOSE(MATCH($H$3,リスト!$AE$3:$AE$5,0),
    ROUNDUP(
      DL7*IF(DL7*$I7&lt;=$L7,$J7,$I7)*
      IF($P7=1,
         $S7/12,
         IF(DL$4=1,
            $T7/12,
            IF(DL$4=$P7,
               $U7/12,
               1
      ))),0),
    ROUNDDOWN(
      DL7*IF(DL7*$I7&lt;=$L7,$J7,$I7)*
      IF($P7=1,
         $S7/12,
         IF(DL$4=1,
            $T7/12,
            IF(DL$4=$P7,
               $U7/12,
               1
      ))),0),
    ROUND(
      DL7*IF(DL7*$I7&lt;=$L7,$J7,$I7)*
      IF($P7=1,
         $S7/12,
         IF(DL$4=1,
            $T7/12,
            IF(DL$4=$P7,
               $U7/12,
               1
      ))),0)
))))</f>
        <v>-</v>
      </c>
      <c r="DN7" s="56" t="str">
        <f ca="1">IF($H7=リスト!$AA$4,"-",
   IF($C7="-","-",
     IF(DN$4&gt;$P7,"-",
       IF(DN$4=1,$E7,OFFSET(DN7,0,-2)-OFFSET(DN7,0,-1)
))))</f>
        <v>-</v>
      </c>
      <c r="DO7" s="57" t="str">
        <f>IF($H7=リスト!$AA$4,"-",
 IF($C7="-","-",
  IF(DN$4&gt;$P7,"-",
   CHOOSE(MATCH($H$3,リスト!$AE$3:$AE$5,0),
    ROUNDUP(
      DN7*IF(DN7*$I7&lt;=$L7,$J7,$I7)*
      IF($P7=1,
         $S7/12,
         IF(DN$4=1,
            $T7/12,
            IF(DN$4=$P7,
               $U7/12,
               1
      ))),0),
    ROUNDDOWN(
      DN7*IF(DN7*$I7&lt;=$L7,$J7,$I7)*
      IF($P7=1,
         $S7/12,
         IF(DN$4=1,
            $T7/12,
            IF(DN$4=$P7,
               $U7/12,
               1
      ))),0),
    ROUND(
      DN7*IF(DN7*$I7&lt;=$L7,$J7,$I7)*
      IF($P7=1,
         $S7/12,
         IF(DN$4=1,
            $T7/12,
            IF(DN$4=$P7,
               $U7/12,
               1
      ))),0)
))))</f>
        <v>-</v>
      </c>
      <c r="DP7" s="56" t="str">
        <f ca="1">IF($H7=リスト!$AA$4,"-",
   IF($C7="-","-",
     IF(DP$4&gt;$P7,"-",
       IF(DP$4=1,$E7,OFFSET(DP7,0,-2)-OFFSET(DP7,0,-1)
))))</f>
        <v>-</v>
      </c>
      <c r="DQ7" s="57" t="str">
        <f>IF($H7=リスト!$AA$4,"-",
 IF($C7="-","-",
  IF(DP$4&gt;$P7,"-",
   CHOOSE(MATCH($H$3,リスト!$AE$3:$AE$5,0),
    ROUNDUP(
      DP7*IF(DP7*$I7&lt;=$L7,$J7,$I7)*
      IF($P7=1,
         $S7/12,
         IF(DP$4=1,
            $T7/12,
            IF(DP$4=$P7,
               $U7/12,
               1
      ))),0),
    ROUNDDOWN(
      DP7*IF(DP7*$I7&lt;=$L7,$J7,$I7)*
      IF($P7=1,
         $S7/12,
         IF(DP$4=1,
            $T7/12,
            IF(DP$4=$P7,
               $U7/12,
               1
      ))),0),
    ROUND(
      DP7*IF(DP7*$I7&lt;=$L7,$J7,$I7)*
      IF($P7=1,
         $S7/12,
         IF(DP$4=1,
            $T7/12,
            IF(DP$4=$P7,
               $U7/12,
               1
      ))),0)
))))</f>
        <v>-</v>
      </c>
      <c r="DR7" s="56" t="str">
        <f ca="1">IF($H7=リスト!$AA$4,"-",
   IF($C7="-","-",
     IF(DR$4&gt;$P7,"-",
       IF(DR$4=1,$E7,OFFSET(DR7,0,-2)-OFFSET(DR7,0,-1)
))))</f>
        <v>-</v>
      </c>
      <c r="DS7" s="57" t="str">
        <f>IF($H7=リスト!$AA$4,"-",
 IF($C7="-","-",
  IF(DR$4&gt;$P7,"-",
   CHOOSE(MATCH($H$3,リスト!$AE$3:$AE$5,0),
    ROUNDUP(
      DR7*IF(DR7*$I7&lt;=$L7,$J7,$I7)*
      IF($P7=1,
         ($G7-$F7+1)/$Q7,
         IF(DR$4=1,
            ($M7-$F7+1)/$Q7,
            IF(DR$4=$P7,
               ($G7-$O7+1)/$R7,
               1
      ))),0),
    ROUNDDOWN(
      DR7*IF(DR7*$I7&lt;=$L7,$J7,$I7)*
      IF($P7=1,
         ($G7-$F7+1)/$Q7,
         IF(DR$4=1,
            ($M7-$F7+1)/$Q7,
            IF(DR$4=$P7,
               ($G7-$O7+1)/$R7,
               1
      ))),0),
    ROUND(
      DR7*IF(DR7*$I7&lt;=$L7,$J7,$I7)*
      IF($P7=1,
         ($G7-$F7+1)/$Q7,
         IF(DR$4=1,
            ($M7-$F7+1)/$Q7,
            IF(DR$4=$P7,
               ($G7-$O7+1)/$R7,
               1
      ))),0)
))))</f>
        <v>-</v>
      </c>
      <c r="DT7" s="56" t="str" cm="1">
        <f t="array" ref="DT7">IF($H7&lt;&gt;リスト!$AA$3,"-",$E7-SUMPRODUCT(IFERROR($Y7:$DS7*1,0), --(MOD(COLUMN($Y7:$DS7)-COLUMN($Y7),2)=0)))</f>
        <v>-</v>
      </c>
      <c r="DU7" s="56" t="str">
        <f>IF($H7&lt;&gt;リスト!$AA$4,"-",
    IF($H$3=リスト!$AE$3,$E7-ROUNDUP($E7*I7*$W7/12,0),
    IF($H$3=リスト!$AE$4,$E7-ROUNDDOWN($E7*I7*$W7/12,0),
    IF($H$3=リスト!$AE$5,$E7-ROUND($E7*I7*$W7/12,0),
    "-"))))</f>
        <v>-</v>
      </c>
    </row>
    <row r="8" spans="2:125">
      <c r="B8" s="54">
        <v>3</v>
      </c>
      <c r="C8" s="55" t="str">
        <f>IF('財産処分報告(災害)用'!$C8="","-",'財産処分報告(災害)用'!$C8)</f>
        <v>-</v>
      </c>
      <c r="D8" s="55" t="str">
        <f>'財産処分報告(災害)用'!$E8</f>
        <v>-</v>
      </c>
      <c r="E8" s="56" t="str">
        <f>IF('財産処分報告(災害)用'!$J8="","-",'財産処分報告(災害)用'!$J8)</f>
        <v>-</v>
      </c>
      <c r="F8" s="101" t="str">
        <f>IF('財産処分報告(災害)用'!$K8="","-",'財産処分報告(災害)用'!$K8)</f>
        <v>-</v>
      </c>
      <c r="G8" s="101" t="str">
        <f>IF('財産処分報告(災害)用'!$L8="","-",'財産処分報告(災害)用'!$L8)</f>
        <v>-</v>
      </c>
      <c r="H8" s="55" t="str">
        <f>IF('財産処分報告(災害)用'!$M8="","-",'財産処分報告(災害)用'!$M8)</f>
        <v>-</v>
      </c>
      <c r="I8" s="55" t="str">
        <f>IF(OR($D8="-",$H8="-"),"-",INDEX(リスト!$AG$2:$AI$101,MATCH($D8,リスト!$AG$2:$AG$101,0),MATCH($H8,リスト!$AG$2:$AI$2,0)))</f>
        <v>-</v>
      </c>
      <c r="J8" s="55" t="str">
        <f>IF(OR($D8="-",$H8="-"),"-",IF($H8=リスト!$AA$4,"-",INDEX(リスト!$AG$2:$AK$101,MATCH($D8,リスト!$AG$2:$AG$101,0),4)))</f>
        <v>-</v>
      </c>
      <c r="K8" s="55" t="str">
        <f>IF(OR($D8="-",$H8="-"),"-",IF($H8=リスト!$AA$4,"-",INDEX(リスト!$AG$2:$AK$101,MATCH($D8,リスト!$AG$2:$AG$101,0),5)))</f>
        <v>-</v>
      </c>
      <c r="L8" s="56" t="str">
        <f t="shared" si="0"/>
        <v>-</v>
      </c>
      <c r="M8" s="101" t="str">
        <f t="shared" si="1"/>
        <v>-</v>
      </c>
      <c r="N8" s="101" t="str">
        <f t="shared" si="2"/>
        <v>-</v>
      </c>
      <c r="O8" s="101" t="str">
        <f t="shared" si="3"/>
        <v>-</v>
      </c>
      <c r="P8" s="102" t="str">
        <f t="shared" si="4"/>
        <v>-</v>
      </c>
      <c r="Q8" s="115" t="str">
        <f t="shared" si="5"/>
        <v>-</v>
      </c>
      <c r="R8" s="116" t="str">
        <f t="shared" si="6"/>
        <v>-</v>
      </c>
      <c r="S8" s="102" t="str">
        <f t="shared" si="7"/>
        <v>-</v>
      </c>
      <c r="T8" s="102" t="str">
        <f t="shared" si="8"/>
        <v>-</v>
      </c>
      <c r="U8" s="102" t="str">
        <f t="shared" si="9"/>
        <v>-</v>
      </c>
      <c r="V8" s="102" t="str">
        <f t="shared" si="10"/>
        <v>-</v>
      </c>
      <c r="W8" s="55" t="str">
        <f t="shared" si="11"/>
        <v>-</v>
      </c>
      <c r="X8" s="56" t="str">
        <f ca="1">IF($H8=リスト!$AA$4,"-",
   IF($C8="-","-",
     IF(X$4&gt;$P8,"-",
       IF(X$4=1,$E8,OFFSET(X8,0,-2)-OFFSET(X8,0,-1)
))))</f>
        <v>-</v>
      </c>
      <c r="Y8" s="57" t="str">
        <f>IF($H8=リスト!$AA$4,"-",
 IF($C8="-","-",
  IF(X$4&gt;$P8,"-",
   CHOOSE(MATCH($H$3,リスト!$AE$3:$AE$5,0),
    ROUNDUP(
      X8*IF(X8*$I8&lt;=$L8,$J8,$I8)*
      IF($P8=1,
         $S8/12,
         IF(X$4=1,
            $T8/12,
            IF(X$4=$P8,
               $U8/12,
               1
      ))),0),
    ROUNDDOWN(
      X8*IF(X8*$I8&lt;=$L8,$J8,$I8)*
      IF($P8=1,
         $S8/12,
         IF(X$4=1,
            $T8/12,
            IF(X$4=$P8,
               $U8/12,
               1
      ))),0),
    ROUND(
      X8*IF(X8*$I8&lt;=$L8,$J8,$I8)*
      IF($P8=1,
         $S8/12,
         IF(X$4=1,
            $T8/12,
            IF(X$4=$P8,
               $U8/12,
               1
      ))),0)
))))</f>
        <v>-</v>
      </c>
      <c r="Z8" s="56" t="str">
        <f ca="1">IF($H8=リスト!$AA$4,"-",
   IF($C8="-","-",
     IF(Z$4&gt;$P8,"-",
       IF(Z$4=1,$E8,OFFSET(Z8,0,-2)-OFFSET(Z8,0,-1)
))))</f>
        <v>-</v>
      </c>
      <c r="AA8" s="57" t="str">
        <f>IF($H8=リスト!$AA$4,"-",
 IF($C8="-","-",
  IF(Z$4&gt;$P8,"-",
   CHOOSE(MATCH($H$3,リスト!$AE$3:$AE$5,0),
    ROUNDUP(
      Z8*IF(Z8*$I8&lt;=$L8,$J8,$I8)*
      IF($P8=1,
         $S8/12,
         IF(Z$4=1,
            $T8/12,
            IF(Z$4=$P8,
               $U8/12,
               1
      ))),0),
    ROUNDDOWN(
      Z8*IF(Z8*$I8&lt;=$L8,$J8,$I8)*
      IF($P8=1,
         $S8/12,
         IF(Z$4=1,
            $T8/12,
            IF(Z$4=$P8,
               $U8/12,
               1
      ))),0),
    ROUND(
      Z8*IF(Z8*$I8&lt;=$L8,$J8,$I8)*
      IF($P8=1,
         $S8/12,
         IF(Z$4=1,
            $T8/12,
            IF(Z$4=$P8,
               $U8/12,
               1
      ))),0)
))))</f>
        <v>-</v>
      </c>
      <c r="AB8" s="56" t="str">
        <f ca="1">IF($H8=リスト!$AA$4,"-",
   IF($C8="-","-",
     IF(AB$4&gt;$P8,"-",
       IF(AB$4=1,$E8,OFFSET(AB8,0,-2)-OFFSET(AB8,0,-1)
))))</f>
        <v>-</v>
      </c>
      <c r="AC8" s="57" t="str">
        <f>IF($H8=リスト!$AA$4,"-",
 IF($C8="-","-",
  IF(AB$4&gt;$P8,"-",
   CHOOSE(MATCH($H$3,リスト!$AE$3:$AE$5,0),
    ROUNDUP(
      AB8*IF(AB8*$I8&lt;=$L8,$J8,$I8)*
      IF($P8=1,
         $S8/12,
         IF(AB$4=1,
            $T8/12,
            IF(AB$4=$P8,
               $U8/12,
               1
      ))),0),
    ROUNDDOWN(
      AB8*IF(AB8*$I8&lt;=$L8,$J8,$I8)*
      IF($P8=1,
         $S8/12,
         IF(AB$4=1,
            $T8/12,
            IF(AB$4=$P8,
               $U8/12,
               1
      ))),0),
    ROUND(
      AB8*IF(AB8*$I8&lt;=$L8,$J8,$I8)*
      IF($P8=1,
         $S8/12,
         IF(AB$4=1,
            $T8/12,
            IF(AB$4=$P8,
               $U8/12,
               1
      ))),0)
))))</f>
        <v>-</v>
      </c>
      <c r="AD8" s="56" t="str">
        <f ca="1">IF($H8=リスト!$AA$4,"-",
   IF($C8="-","-",
     IF(AD$4&gt;$P8,"-",
       IF(AD$4=1,$E8,OFFSET(AD8,0,-2)-OFFSET(AD8,0,-1)
))))</f>
        <v>-</v>
      </c>
      <c r="AE8" s="57" t="str">
        <f>IF($H8=リスト!$AA$4,"-",
 IF($C8="-","-",
  IF(AD$4&gt;$P8,"-",
   CHOOSE(MATCH($H$3,リスト!$AE$3:$AE$5,0),
    ROUNDUP(
      AD8*IF(AD8*$I8&lt;=$L8,$J8,$I8)*
      IF($P8=1,
         $S8/12,
         IF(AD$4=1,
            $T8/12,
            IF(AD$4=$P8,
               $U8/12,
               1
      ))),0),
    ROUNDDOWN(
      AD8*IF(AD8*$I8&lt;=$L8,$J8,$I8)*
      IF($P8=1,
         $S8/12,
         IF(AD$4=1,
            $T8/12,
            IF(AD$4=$P8,
               $U8/12,
               1
      ))),0),
    ROUND(
      AD8*IF(AD8*$I8&lt;=$L8,$J8,$I8)*
      IF($P8=1,
         $S8/12,
         IF(AD$4=1,
            $T8/12,
            IF(AD$4=$P8,
               $U8/12,
               1
      ))),0)
))))</f>
        <v>-</v>
      </c>
      <c r="AF8" s="56" t="str">
        <f ca="1">IF($H8=リスト!$AA$4,"-",
   IF($C8="-","-",
     IF(AF$4&gt;$P8,"-",
       IF(AF$4=1,$E8,OFFSET(AF8,0,-2)-OFFSET(AF8,0,-1)
))))</f>
        <v>-</v>
      </c>
      <c r="AG8" s="57" t="str">
        <f>IF($H8=リスト!$AA$4,"-",
 IF($C8="-","-",
  IF(AF$4&gt;$P8,"-",
   CHOOSE(MATCH($H$3,リスト!$AE$3:$AE$5,0),
    ROUNDUP(
      AF8*IF(AF8*$I8&lt;=$L8,$J8,$I8)*
      IF($P8=1,
         $S8/12,
         IF(AF$4=1,
            $T8/12,
            IF(AF$4=$P8,
               $U8/12,
               1
      ))),0),
    ROUNDDOWN(
      AF8*IF(AF8*$I8&lt;=$L8,$J8,$I8)*
      IF($P8=1,
         $S8/12,
         IF(AF$4=1,
            $T8/12,
            IF(AF$4=$P8,
               $U8/12,
               1
      ))),0),
    ROUND(
      AF8*IF(AF8*$I8&lt;=$L8,$J8,$I8)*
      IF($P8=1,
         $S8/12,
         IF(AF$4=1,
            $T8/12,
            IF(AF$4=$P8,
               $U8/12,
               1
      ))),0)
))))</f>
        <v>-</v>
      </c>
      <c r="AH8" s="56" t="str">
        <f ca="1">IF($H8=リスト!$AA$4,"-",
   IF($C8="-","-",
     IF(AH$4&gt;$P8,"-",
       IF(AH$4=1,$E8,OFFSET(AH8,0,-2)-OFFSET(AH8,0,-1)
))))</f>
        <v>-</v>
      </c>
      <c r="AI8" s="57" t="str">
        <f>IF($H8=リスト!$AA$4,"-",
 IF($C8="-","-",
  IF(AH$4&gt;$P8,"-",
   CHOOSE(MATCH($H$3,リスト!$AE$3:$AE$5,0),
    ROUNDUP(
      AH8*IF(AH8*$I8&lt;=$L8,$J8,$I8)*
      IF($P8=1,
         $S8/12,
         IF(AH$4=1,
            $T8/12,
            IF(AH$4=$P8,
               $U8/12,
               1
      ))),0),
    ROUNDDOWN(
      AH8*IF(AH8*$I8&lt;=$L8,$J8,$I8)*
      IF($P8=1,
         $S8/12,
         IF(AH$4=1,
            $T8/12,
            IF(AH$4=$P8,
               $U8/12,
               1
      ))),0),
    ROUND(
      AH8*IF(AH8*$I8&lt;=$L8,$J8,$I8)*
      IF($P8=1,
         $S8/12,
         IF(AH$4=1,
            $T8/12,
            IF(AH$4=$P8,
               $U8/12,
               1
      ))),0)
))))</f>
        <v>-</v>
      </c>
      <c r="AJ8" s="56" t="str">
        <f ca="1">IF($H8=リスト!$AA$4,"-",
   IF($C8="-","-",
     IF(AJ$4&gt;$P8,"-",
       IF(AJ$4=1,$E8,OFFSET(AJ8,0,-2)-OFFSET(AJ8,0,-1)
))))</f>
        <v>-</v>
      </c>
      <c r="AK8" s="57" t="str">
        <f>IF($H8=リスト!$AA$4,"-",
 IF($C8="-","-",
  IF(AJ$4&gt;$P8,"-",
   CHOOSE(MATCH($H$3,リスト!$AE$3:$AE$5,0),
    ROUNDUP(
      AJ8*IF(AJ8*$I8&lt;=$L8,$J8,$I8)*
      IF($P8=1,
         $S8/12,
         IF(AJ$4=1,
            $T8/12,
            IF(AJ$4=$P8,
               $U8/12,
               1
      ))),0),
    ROUNDDOWN(
      AJ8*IF(AJ8*$I8&lt;=$L8,$J8,$I8)*
      IF($P8=1,
         $S8/12,
         IF(AJ$4=1,
            $T8/12,
            IF(AJ$4=$P8,
               $U8/12,
               1
      ))),0),
    ROUND(
      AJ8*IF(AJ8*$I8&lt;=$L8,$J8,$I8)*
      IF($P8=1,
         $S8/12,
         IF(AJ$4=1,
            $T8/12,
            IF(AJ$4=$P8,
               $U8/12,
               1
      ))),0)
))))</f>
        <v>-</v>
      </c>
      <c r="AL8" s="56" t="str">
        <f ca="1">IF($H8=リスト!$AA$4,"-",
   IF($C8="-","-",
     IF(AL$4&gt;$P8,"-",
       IF(AL$4=1,$E8,OFFSET(AL8,0,-2)-OFFSET(AL8,0,-1)
))))</f>
        <v>-</v>
      </c>
      <c r="AM8" s="57" t="str">
        <f>IF($H8=リスト!$AA$4,"-",
 IF($C8="-","-",
  IF(AL$4&gt;$P8,"-",
   CHOOSE(MATCH($H$3,リスト!$AE$3:$AE$5,0),
    ROUNDUP(
      AL8*IF(AL8*$I8&lt;=$L8,$J8,$I8)*
      IF($P8=1,
         $S8/12,
         IF(AL$4=1,
            $T8/12,
            IF(AL$4=$P8,
               $U8/12,
               1
      ))),0),
    ROUNDDOWN(
      AL8*IF(AL8*$I8&lt;=$L8,$J8,$I8)*
      IF($P8=1,
         $S8/12,
         IF(AL$4=1,
            $T8/12,
            IF(AL$4=$P8,
               $U8/12,
               1
      ))),0),
    ROUND(
      AL8*IF(AL8*$I8&lt;=$L8,$J8,$I8)*
      IF($P8=1,
         $S8/12,
         IF(AL$4=1,
            $T8/12,
            IF(AL$4=$P8,
               $U8/12,
               1
      ))),0)
))))</f>
        <v>-</v>
      </c>
      <c r="AN8" s="56" t="str">
        <f ca="1">IF($H8=リスト!$AA$4,"-",
   IF($C8="-","-",
     IF(AN$4&gt;$P8,"-",
       IF(AN$4=1,$E8,OFFSET(AN8,0,-2)-OFFSET(AN8,0,-1)
))))</f>
        <v>-</v>
      </c>
      <c r="AO8" s="57" t="str">
        <f>IF($H8=リスト!$AA$4,"-",
 IF($C8="-","-",
  IF(AN$4&gt;$P8,"-",
   CHOOSE(MATCH($H$3,リスト!$AE$3:$AE$5,0),
    ROUNDUP(
      AN8*IF(AN8*$I8&lt;=$L8,$J8,$I8)*
      IF($P8=1,
         $S8/12,
         IF(AN$4=1,
            $T8/12,
            IF(AN$4=$P8,
               $U8/12,
               1
      ))),0),
    ROUNDDOWN(
      AN8*IF(AN8*$I8&lt;=$L8,$J8,$I8)*
      IF($P8=1,
         $S8/12,
         IF(AN$4=1,
            $T8/12,
            IF(AN$4=$P8,
               $U8/12,
               1
      ))),0),
    ROUND(
      AN8*IF(AN8*$I8&lt;=$L8,$J8,$I8)*
      IF($P8=1,
         $S8/12,
         IF(AN$4=1,
            $T8/12,
            IF(AN$4=$P8,
               $U8/12,
               1
      ))),0)
))))</f>
        <v>-</v>
      </c>
      <c r="AP8" s="56" t="str">
        <f ca="1">IF($H8=リスト!$AA$4,"-",
   IF($C8="-","-",
     IF(AP$4&gt;$P8,"-",
       IF(AP$4=1,$E8,OFFSET(AP8,0,-2)-OFFSET(AP8,0,-1)
))))</f>
        <v>-</v>
      </c>
      <c r="AQ8" s="57" t="str">
        <f>IF($H8=リスト!$AA$4,"-",
 IF($C8="-","-",
  IF(AP$4&gt;$P8,"-",
   CHOOSE(MATCH($H$3,リスト!$AE$3:$AE$5,0),
    ROUNDUP(
      AP8*IF(AP8*$I8&lt;=$L8,$J8,$I8)*
      IF($P8=1,
         $S8/12,
         IF(AP$4=1,
            $T8/12,
            IF(AP$4=$P8,
               $U8/12,
               1
      ))),0),
    ROUNDDOWN(
      AP8*IF(AP8*$I8&lt;=$L8,$J8,$I8)*
      IF($P8=1,
         $S8/12,
         IF(AP$4=1,
            $T8/12,
            IF(AP$4=$P8,
               $U8/12,
               1
      ))),0),
    ROUND(
      AP8*IF(AP8*$I8&lt;=$L8,$J8,$I8)*
      IF($P8=1,
         $S8/12,
         IF(AP$4=1,
            $T8/12,
            IF(AP$4=$P8,
               $U8/12,
               1
      ))),0)
))))</f>
        <v>-</v>
      </c>
      <c r="AR8" s="56" t="str">
        <f ca="1">IF($H8=リスト!$AA$4,"-",
   IF($C8="-","-",
     IF(AR$4&gt;$P8,"-",
       IF(AR$4=1,$E8,OFFSET(AR8,0,-2)-OFFSET(AR8,0,-1)
))))</f>
        <v>-</v>
      </c>
      <c r="AS8" s="57" t="str">
        <f>IF($H8=リスト!$AA$4,"-",
 IF($C8="-","-",
  IF(AR$4&gt;$P8,"-",
   CHOOSE(MATCH($H$3,リスト!$AE$3:$AE$5,0),
    ROUNDUP(
      AR8*IF(AR8*$I8&lt;=$L8,$J8,$I8)*
      IF($P8=1,
         $S8/12,
         IF(AR$4=1,
            $T8/12,
            IF(AR$4=$P8,
               $U8/12,
               1
      ))),0),
    ROUNDDOWN(
      AR8*IF(AR8*$I8&lt;=$L8,$J8,$I8)*
      IF($P8=1,
         $S8/12,
         IF(AR$4=1,
            $T8/12,
            IF(AR$4=$P8,
               $U8/12,
               1
      ))),0),
    ROUND(
      AR8*IF(AR8*$I8&lt;=$L8,$J8,$I8)*
      IF($P8=1,
         $S8/12,
         IF(AR$4=1,
            $T8/12,
            IF(AR$4=$P8,
               $U8/12,
               1
      ))),0)
))))</f>
        <v>-</v>
      </c>
      <c r="AT8" s="56" t="str">
        <f ca="1">IF($H8=リスト!$AA$4,"-",
   IF($C8="-","-",
     IF(AT$4&gt;$P8,"-",
       IF(AT$4=1,$E8,OFFSET(AT8,0,-2)-OFFSET(AT8,0,-1)
))))</f>
        <v>-</v>
      </c>
      <c r="AU8" s="57" t="str">
        <f>IF($H8=リスト!$AA$4,"-",
 IF($C8="-","-",
  IF(AT$4&gt;$P8,"-",
   CHOOSE(MATCH($H$3,リスト!$AE$3:$AE$5,0),
    ROUNDUP(
      AT8*IF(AT8*$I8&lt;=$L8,$J8,$I8)*
      IF($P8=1,
         $S8/12,
         IF(AT$4=1,
            $T8/12,
            IF(AT$4=$P8,
               $U8/12,
               1
      ))),0),
    ROUNDDOWN(
      AT8*IF(AT8*$I8&lt;=$L8,$J8,$I8)*
      IF($P8=1,
         $S8/12,
         IF(AT$4=1,
            $T8/12,
            IF(AT$4=$P8,
               $U8/12,
               1
      ))),0),
    ROUND(
      AT8*IF(AT8*$I8&lt;=$L8,$J8,$I8)*
      IF($P8=1,
         $S8/12,
         IF(AT$4=1,
            $T8/12,
            IF(AT$4=$P8,
               $U8/12,
               1
      ))),0)
))))</f>
        <v>-</v>
      </c>
      <c r="AV8" s="56" t="str">
        <f ca="1">IF($H8=リスト!$AA$4,"-",
   IF($C8="-","-",
     IF(AV$4&gt;$P8,"-",
       IF(AV$4=1,$E8,OFFSET(AV8,0,-2)-OFFSET(AV8,0,-1)
))))</f>
        <v>-</v>
      </c>
      <c r="AW8" s="57" t="str">
        <f>IF($H8=リスト!$AA$4,"-",
 IF($C8="-","-",
  IF(AV$4&gt;$P8,"-",
   CHOOSE(MATCH($H$3,リスト!$AE$3:$AE$5,0),
    ROUNDUP(
      AV8*IF(AV8*$I8&lt;=$L8,$J8,$I8)*
      IF($P8=1,
         $S8/12,
         IF(AV$4=1,
            $T8/12,
            IF(AV$4=$P8,
               $U8/12,
               1
      ))),0),
    ROUNDDOWN(
      AV8*IF(AV8*$I8&lt;=$L8,$J8,$I8)*
      IF($P8=1,
         $S8/12,
         IF(AV$4=1,
            $T8/12,
            IF(AV$4=$P8,
               $U8/12,
               1
      ))),0),
    ROUND(
      AV8*IF(AV8*$I8&lt;=$L8,$J8,$I8)*
      IF($P8=1,
         $S8/12,
         IF(AV$4=1,
            $T8/12,
            IF(AV$4=$P8,
               $U8/12,
               1
      ))),0)
))))</f>
        <v>-</v>
      </c>
      <c r="AX8" s="56" t="str">
        <f ca="1">IF($H8=リスト!$AA$4,"-",
   IF($C8="-","-",
     IF(AX$4&gt;$P8,"-",
       IF(AX$4=1,$E8,OFFSET(AX8,0,-2)-OFFSET(AX8,0,-1)
))))</f>
        <v>-</v>
      </c>
      <c r="AY8" s="57" t="str">
        <f>IF($H8=リスト!$AA$4,"-",
 IF($C8="-","-",
  IF(AX$4&gt;$P8,"-",
   CHOOSE(MATCH($H$3,リスト!$AE$3:$AE$5,0),
    ROUNDUP(
      AX8*IF(AX8*$I8&lt;=$L8,$J8,$I8)*
      IF($P8=1,
         $S8/12,
         IF(AX$4=1,
            $T8/12,
            IF(AX$4=$P8,
               $U8/12,
               1
      ))),0),
    ROUNDDOWN(
      AX8*IF(AX8*$I8&lt;=$L8,$J8,$I8)*
      IF($P8=1,
         $S8/12,
         IF(AX$4=1,
            $T8/12,
            IF(AX$4=$P8,
               $U8/12,
               1
      ))),0),
    ROUND(
      AX8*IF(AX8*$I8&lt;=$L8,$J8,$I8)*
      IF($P8=1,
         $S8/12,
         IF(AX$4=1,
            $T8/12,
            IF(AX$4=$P8,
               $U8/12,
               1
      ))),0)
))))</f>
        <v>-</v>
      </c>
      <c r="AZ8" s="56" t="str">
        <f ca="1">IF($H8=リスト!$AA$4,"-",
   IF($C8="-","-",
     IF(AZ$4&gt;$P8,"-",
       IF(AZ$4=1,$E8,OFFSET(AZ8,0,-2)-OFFSET(AZ8,0,-1)
))))</f>
        <v>-</v>
      </c>
      <c r="BA8" s="57" t="str">
        <f>IF($H8=リスト!$AA$4,"-",
 IF($C8="-","-",
  IF(AZ$4&gt;$P8,"-",
   CHOOSE(MATCH($H$3,リスト!$AE$3:$AE$5,0),
    ROUNDUP(
      AZ8*IF(AZ8*$I8&lt;=$L8,$J8,$I8)*
      IF($P8=1,
         $S8/12,
         IF(AZ$4=1,
            $T8/12,
            IF(AZ$4=$P8,
               $U8/12,
               1
      ))),0),
    ROUNDDOWN(
      AZ8*IF(AZ8*$I8&lt;=$L8,$J8,$I8)*
      IF($P8=1,
         $S8/12,
         IF(AZ$4=1,
            $T8/12,
            IF(AZ$4=$P8,
               $U8/12,
               1
      ))),0),
    ROUND(
      AZ8*IF(AZ8*$I8&lt;=$L8,$J8,$I8)*
      IF($P8=1,
         $S8/12,
         IF(AZ$4=1,
            $T8/12,
            IF(AZ$4=$P8,
               $U8/12,
               1
      ))),0)
))))</f>
        <v>-</v>
      </c>
      <c r="BB8" s="56" t="str">
        <f ca="1">IF($H8=リスト!$AA$4,"-",
   IF($C8="-","-",
     IF(BB$4&gt;$P8,"-",
       IF(BB$4=1,$E8,OFFSET(BB8,0,-2)-OFFSET(BB8,0,-1)
))))</f>
        <v>-</v>
      </c>
      <c r="BC8" s="57" t="str">
        <f>IF($H8=リスト!$AA$4,"-",
 IF($C8="-","-",
  IF(BB$4&gt;$P8,"-",
   CHOOSE(MATCH($H$3,リスト!$AE$3:$AE$5,0),
    ROUNDUP(
      BB8*IF(BB8*$I8&lt;=$L8,$J8,$I8)*
      IF($P8=1,
         $S8/12,
         IF(BB$4=1,
            $T8/12,
            IF(BB$4=$P8,
               $U8/12,
               1
      ))),0),
    ROUNDDOWN(
      BB8*IF(BB8*$I8&lt;=$L8,$J8,$I8)*
      IF($P8=1,
         $S8/12,
         IF(BB$4=1,
            $T8/12,
            IF(BB$4=$P8,
               $U8/12,
               1
      ))),0),
    ROUND(
      BB8*IF(BB8*$I8&lt;=$L8,$J8,$I8)*
      IF($P8=1,
         $S8/12,
         IF(BB$4=1,
            $T8/12,
            IF(BB$4=$P8,
               $U8/12,
               1
      ))),0)
))))</f>
        <v>-</v>
      </c>
      <c r="BD8" s="56" t="str">
        <f ca="1">IF($H8=リスト!$AA$4,"-",
   IF($C8="-","-",
     IF(BD$4&gt;$P8,"-",
       IF(BD$4=1,$E8,OFFSET(BD8,0,-2)-OFFSET(BD8,0,-1)
))))</f>
        <v>-</v>
      </c>
      <c r="BE8" s="57" t="str">
        <f>IF($H8=リスト!$AA$4,"-",
 IF($C8="-","-",
  IF(BD$4&gt;$P8,"-",
   CHOOSE(MATCH($H$3,リスト!$AE$3:$AE$5,0),
    ROUNDUP(
      BD8*IF(BD8*$I8&lt;=$L8,$J8,$I8)*
      IF($P8=1,
         $S8/12,
         IF(BD$4=1,
            $T8/12,
            IF(BD$4=$P8,
               $U8/12,
               1
      ))),0),
    ROUNDDOWN(
      BD8*IF(BD8*$I8&lt;=$L8,$J8,$I8)*
      IF($P8=1,
         $S8/12,
         IF(BD$4=1,
            $T8/12,
            IF(BD$4=$P8,
               $U8/12,
               1
      ))),0),
    ROUND(
      BD8*IF(BD8*$I8&lt;=$L8,$J8,$I8)*
      IF($P8=1,
         $S8/12,
         IF(BD$4=1,
            $T8/12,
            IF(BD$4=$P8,
               $U8/12,
               1
      ))),0)
))))</f>
        <v>-</v>
      </c>
      <c r="BF8" s="56" t="str">
        <f ca="1">IF($H8=リスト!$AA$4,"-",
   IF($C8="-","-",
     IF(BF$4&gt;$P8,"-",
       IF(BF$4=1,$E8,OFFSET(BF8,0,-2)-OFFSET(BF8,0,-1)
))))</f>
        <v>-</v>
      </c>
      <c r="BG8" s="57" t="str">
        <f>IF($H8=リスト!$AA$4,"-",
 IF($C8="-","-",
  IF(BF$4&gt;$P8,"-",
   CHOOSE(MATCH($H$3,リスト!$AE$3:$AE$5,0),
    ROUNDUP(
      BF8*IF(BF8*$I8&lt;=$L8,$J8,$I8)*
      IF($P8=1,
         $S8/12,
         IF(BF$4=1,
            $T8/12,
            IF(BF$4=$P8,
               $U8/12,
               1
      ))),0),
    ROUNDDOWN(
      BF8*IF(BF8*$I8&lt;=$L8,$J8,$I8)*
      IF($P8=1,
         $S8/12,
         IF(BF$4=1,
            $T8/12,
            IF(BF$4=$P8,
               $U8/12,
               1
      ))),0),
    ROUND(
      BF8*IF(BF8*$I8&lt;=$L8,$J8,$I8)*
      IF($P8=1,
         $S8/12,
         IF(BF$4=1,
            $T8/12,
            IF(BF$4=$P8,
               $U8/12,
               1
      ))),0)
))))</f>
        <v>-</v>
      </c>
      <c r="BH8" s="56" t="str">
        <f ca="1">IF($H8=リスト!$AA$4,"-",
   IF($C8="-","-",
     IF(BH$4&gt;$P8,"-",
       IF(BH$4=1,$E8,OFFSET(BH8,0,-2)-OFFSET(BH8,0,-1)
))))</f>
        <v>-</v>
      </c>
      <c r="BI8" s="57" t="str">
        <f>IF($H8=リスト!$AA$4,"-",
 IF($C8="-","-",
  IF(BH$4&gt;$P8,"-",
   CHOOSE(MATCH($H$3,リスト!$AE$3:$AE$5,0),
    ROUNDUP(
      BH8*IF(BH8*$I8&lt;=$L8,$J8,$I8)*
      IF($P8=1,
         $S8/12,
         IF(BH$4=1,
            $T8/12,
            IF(BH$4=$P8,
               $U8/12,
               1
      ))),0),
    ROUNDDOWN(
      BH8*IF(BH8*$I8&lt;=$L8,$J8,$I8)*
      IF($P8=1,
         $S8/12,
         IF(BH$4=1,
            $T8/12,
            IF(BH$4=$P8,
               $U8/12,
               1
      ))),0),
    ROUND(
      BH8*IF(BH8*$I8&lt;=$L8,$J8,$I8)*
      IF($P8=1,
         $S8/12,
         IF(BH$4=1,
            $T8/12,
            IF(BH$4=$P8,
               $U8/12,
               1
      ))),0)
))))</f>
        <v>-</v>
      </c>
      <c r="BJ8" s="56" t="str">
        <f ca="1">IF($H8=リスト!$AA$4,"-",
   IF($C8="-","-",
     IF(BJ$4&gt;$P8,"-",
       IF(BJ$4=1,$E8,OFFSET(BJ8,0,-2)-OFFSET(BJ8,0,-1)
))))</f>
        <v>-</v>
      </c>
      <c r="BK8" s="57" t="str">
        <f>IF($H8=リスト!$AA$4,"-",
 IF($C8="-","-",
  IF(BJ$4&gt;$P8,"-",
   CHOOSE(MATCH($H$3,リスト!$AE$3:$AE$5,0),
    ROUNDUP(
      BJ8*IF(BJ8*$I8&lt;=$L8,$J8,$I8)*
      IF($P8=1,
         $S8/12,
         IF(BJ$4=1,
            $T8/12,
            IF(BJ$4=$P8,
               $U8/12,
               1
      ))),0),
    ROUNDDOWN(
      BJ8*IF(BJ8*$I8&lt;=$L8,$J8,$I8)*
      IF($P8=1,
         $S8/12,
         IF(BJ$4=1,
            $T8/12,
            IF(BJ$4=$P8,
               $U8/12,
               1
      ))),0),
    ROUND(
      BJ8*IF(BJ8*$I8&lt;=$L8,$J8,$I8)*
      IF($P8=1,
         $S8/12,
         IF(BJ$4=1,
            $T8/12,
            IF(BJ$4=$P8,
               $U8/12,
               1
      ))),0)
))))</f>
        <v>-</v>
      </c>
      <c r="BL8" s="56" t="str">
        <f ca="1">IF($H8=リスト!$AA$4,"-",
   IF($C8="-","-",
     IF(BL$4&gt;$P8,"-",
       IF(BL$4=1,$E8,OFFSET(BL8,0,-2)-OFFSET(BL8,0,-1)
))))</f>
        <v>-</v>
      </c>
      <c r="BM8" s="57" t="str">
        <f>IF($H8=リスト!$AA$4,"-",
 IF($C8="-","-",
  IF(BL$4&gt;$P8,"-",
   CHOOSE(MATCH($H$3,リスト!$AE$3:$AE$5,0),
    ROUNDUP(
      BL8*IF(BL8*$I8&lt;=$L8,$J8,$I8)*
      IF($P8=1,
         $S8/12,
         IF(BL$4=1,
            $T8/12,
            IF(BL$4=$P8,
               $U8/12,
               1
      ))),0),
    ROUNDDOWN(
      BL8*IF(BL8*$I8&lt;=$L8,$J8,$I8)*
      IF($P8=1,
         $S8/12,
         IF(BL$4=1,
            $T8/12,
            IF(BL$4=$P8,
               $U8/12,
               1
      ))),0),
    ROUND(
      BL8*IF(BL8*$I8&lt;=$L8,$J8,$I8)*
      IF($P8=1,
         $S8/12,
         IF(BL$4=1,
            $T8/12,
            IF(BL$4=$P8,
               $U8/12,
               1
      ))),0)
))))</f>
        <v>-</v>
      </c>
      <c r="BN8" s="56" t="str">
        <f ca="1">IF($H8=リスト!$AA$4,"-",
   IF($C8="-","-",
     IF(BN$4&gt;$P8,"-",
       IF(BN$4=1,$E8,OFFSET(BN8,0,-2)-OFFSET(BN8,0,-1)
))))</f>
        <v>-</v>
      </c>
      <c r="BO8" s="57" t="str">
        <f>IF($H8=リスト!$AA$4,"-",
 IF($C8="-","-",
  IF(BN$4&gt;$P8,"-",
   CHOOSE(MATCH($H$3,リスト!$AE$3:$AE$5,0),
    ROUNDUP(
      BN8*IF(BN8*$I8&lt;=$L8,$J8,$I8)*
      IF($P8=1,
         $S8/12,
         IF(BN$4=1,
            $T8/12,
            IF(BN$4=$P8,
               $U8/12,
               1
      ))),0),
    ROUNDDOWN(
      BN8*IF(BN8*$I8&lt;=$L8,$J8,$I8)*
      IF($P8=1,
         $S8/12,
         IF(BN$4=1,
            $T8/12,
            IF(BN$4=$P8,
               $U8/12,
               1
      ))),0),
    ROUND(
      BN8*IF(BN8*$I8&lt;=$L8,$J8,$I8)*
      IF($P8=1,
         $S8/12,
         IF(BN$4=1,
            $T8/12,
            IF(BN$4=$P8,
               $U8/12,
               1
      ))),0)
))))</f>
        <v>-</v>
      </c>
      <c r="BP8" s="56" t="str">
        <f ca="1">IF($H8=リスト!$AA$4,"-",
   IF($C8="-","-",
     IF(BP$4&gt;$P8,"-",
       IF(BP$4=1,$E8,OFFSET(BP8,0,-2)-OFFSET(BP8,0,-1)
))))</f>
        <v>-</v>
      </c>
      <c r="BQ8" s="57" t="str">
        <f>IF($H8=リスト!$AA$4,"-",
 IF($C8="-","-",
  IF(BP$4&gt;$P8,"-",
   CHOOSE(MATCH($H$3,リスト!$AE$3:$AE$5,0),
    ROUNDUP(
      BP8*IF(BP8*$I8&lt;=$L8,$J8,$I8)*
      IF($P8=1,
         $S8/12,
         IF(BP$4=1,
            $T8/12,
            IF(BP$4=$P8,
               $U8/12,
               1
      ))),0),
    ROUNDDOWN(
      BP8*IF(BP8*$I8&lt;=$L8,$J8,$I8)*
      IF($P8=1,
         $S8/12,
         IF(BP$4=1,
            $T8/12,
            IF(BP$4=$P8,
               $U8/12,
               1
      ))),0),
    ROUND(
      BP8*IF(BP8*$I8&lt;=$L8,$J8,$I8)*
      IF($P8=1,
         $S8/12,
         IF(BP$4=1,
            $T8/12,
            IF(BP$4=$P8,
               $U8/12,
               1
      ))),0)
))))</f>
        <v>-</v>
      </c>
      <c r="BR8" s="56" t="str">
        <f ca="1">IF($H8=リスト!$AA$4,"-",
   IF($C8="-","-",
     IF(BR$4&gt;$P8,"-",
       IF(BR$4=1,$E8,OFFSET(BR8,0,-2)-OFFSET(BR8,0,-1)
))))</f>
        <v>-</v>
      </c>
      <c r="BS8" s="57" t="str">
        <f>IF($H8=リスト!$AA$4,"-",
 IF($C8="-","-",
  IF(BR$4&gt;$P8,"-",
   CHOOSE(MATCH($H$3,リスト!$AE$3:$AE$5,0),
    ROUNDUP(
      BR8*IF(BR8*$I8&lt;=$L8,$J8,$I8)*
      IF($P8=1,
         $S8/12,
         IF(BR$4=1,
            $T8/12,
            IF(BR$4=$P8,
               $U8/12,
               1
      ))),0),
    ROUNDDOWN(
      BR8*IF(BR8*$I8&lt;=$L8,$J8,$I8)*
      IF($P8=1,
         $S8/12,
         IF(BR$4=1,
            $T8/12,
            IF(BR$4=$P8,
               $U8/12,
               1
      ))),0),
    ROUND(
      BR8*IF(BR8*$I8&lt;=$L8,$J8,$I8)*
      IF($P8=1,
         $S8/12,
         IF(BR$4=1,
            $T8/12,
            IF(BR$4=$P8,
               $U8/12,
               1
      ))),0)
))))</f>
        <v>-</v>
      </c>
      <c r="BT8" s="56" t="str">
        <f ca="1">IF($H8=リスト!$AA$4,"-",
   IF($C8="-","-",
     IF(BT$4&gt;$P8,"-",
       IF(BT$4=1,$E8,OFFSET(BT8,0,-2)-OFFSET(BT8,0,-1)
))))</f>
        <v>-</v>
      </c>
      <c r="BU8" s="57" t="str">
        <f>IF($H8=リスト!$AA$4,"-",
 IF($C8="-","-",
  IF(BT$4&gt;$P8,"-",
   CHOOSE(MATCH($H$3,リスト!$AE$3:$AE$5,0),
    ROUNDUP(
      BT8*IF(BT8*$I8&lt;=$L8,$J8,$I8)*
      IF($P8=1,
         $S8/12,
         IF(BT$4=1,
            $T8/12,
            IF(BT$4=$P8,
               $U8/12,
               1
      ))),0),
    ROUNDDOWN(
      BT8*IF(BT8*$I8&lt;=$L8,$J8,$I8)*
      IF($P8=1,
         $S8/12,
         IF(BT$4=1,
            $T8/12,
            IF(BT$4=$P8,
               $U8/12,
               1
      ))),0),
    ROUND(
      BT8*IF(BT8*$I8&lt;=$L8,$J8,$I8)*
      IF($P8=1,
         $S8/12,
         IF(BT$4=1,
            $T8/12,
            IF(BT$4=$P8,
               $U8/12,
               1
      ))),0)
))))</f>
        <v>-</v>
      </c>
      <c r="BV8" s="56" t="str">
        <f ca="1">IF($H8=リスト!$AA$4,"-",
   IF($C8="-","-",
     IF(BV$4&gt;$P8,"-",
       IF(BV$4=1,$E8,OFFSET(BV8,0,-2)-OFFSET(BV8,0,-1)
))))</f>
        <v>-</v>
      </c>
      <c r="BW8" s="57" t="str">
        <f>IF($H8=リスト!$AA$4,"-",
 IF($C8="-","-",
  IF(BV$4&gt;$P8,"-",
   CHOOSE(MATCH($H$3,リスト!$AE$3:$AE$5,0),
    ROUNDUP(
      BV8*IF(BV8*$I8&lt;=$L8,$J8,$I8)*
      IF($P8=1,
         $S8/12,
         IF(BV$4=1,
            $T8/12,
            IF(BV$4=$P8,
               $U8/12,
               1
      ))),0),
    ROUNDDOWN(
      BV8*IF(BV8*$I8&lt;=$L8,$J8,$I8)*
      IF($P8=1,
         $S8/12,
         IF(BV$4=1,
            $T8/12,
            IF(BV$4=$P8,
               $U8/12,
               1
      ))),0),
    ROUND(
      BV8*IF(BV8*$I8&lt;=$L8,$J8,$I8)*
      IF($P8=1,
         $S8/12,
         IF(BV$4=1,
            $T8/12,
            IF(BV$4=$P8,
               $U8/12,
               1
      ))),0)
))))</f>
        <v>-</v>
      </c>
      <c r="BX8" s="56" t="str">
        <f ca="1">IF($H8=リスト!$AA$4,"-",
   IF($C8="-","-",
     IF(BX$4&gt;$P8,"-",
       IF(BX$4=1,$E8,OFFSET(BX8,0,-2)-OFFSET(BX8,0,-1)
))))</f>
        <v>-</v>
      </c>
      <c r="BY8" s="57" t="str">
        <f>IF($H8=リスト!$AA$4,"-",
 IF($C8="-","-",
  IF(BX$4&gt;$P8,"-",
   CHOOSE(MATCH($H$3,リスト!$AE$3:$AE$5,0),
    ROUNDUP(
      BX8*IF(BX8*$I8&lt;=$L8,$J8,$I8)*
      IF($P8=1,
         $S8/12,
         IF(BX$4=1,
            $T8/12,
            IF(BX$4=$P8,
               $U8/12,
               1
      ))),0),
    ROUNDDOWN(
      BX8*IF(BX8*$I8&lt;=$L8,$J8,$I8)*
      IF($P8=1,
         $S8/12,
         IF(BX$4=1,
            $T8/12,
            IF(BX$4=$P8,
               $U8/12,
               1
      ))),0),
    ROUND(
      BX8*IF(BX8*$I8&lt;=$L8,$J8,$I8)*
      IF($P8=1,
         $S8/12,
         IF(BX$4=1,
            $T8/12,
            IF(BX$4=$P8,
               $U8/12,
               1
      ))),0)
))))</f>
        <v>-</v>
      </c>
      <c r="BZ8" s="56" t="str">
        <f ca="1">IF($H8=リスト!$AA$4,"-",
   IF($C8="-","-",
     IF(BZ$4&gt;$P8,"-",
       IF(BZ$4=1,$E8,OFFSET(BZ8,0,-2)-OFFSET(BZ8,0,-1)
))))</f>
        <v>-</v>
      </c>
      <c r="CA8" s="57" t="str">
        <f>IF($H8=リスト!$AA$4,"-",
 IF($C8="-","-",
  IF(BZ$4&gt;$P8,"-",
   CHOOSE(MATCH($H$3,リスト!$AE$3:$AE$5,0),
    ROUNDUP(
      BZ8*IF(BZ8*$I8&lt;=$L8,$J8,$I8)*
      IF($P8=1,
         $S8/12,
         IF(BZ$4=1,
            $T8/12,
            IF(BZ$4=$P8,
               $U8/12,
               1
      ))),0),
    ROUNDDOWN(
      BZ8*IF(BZ8*$I8&lt;=$L8,$J8,$I8)*
      IF($P8=1,
         $S8/12,
         IF(BZ$4=1,
            $T8/12,
            IF(BZ$4=$P8,
               $U8/12,
               1
      ))),0),
    ROUND(
      BZ8*IF(BZ8*$I8&lt;=$L8,$J8,$I8)*
      IF($P8=1,
         $S8/12,
         IF(BZ$4=1,
            $T8/12,
            IF(BZ$4=$P8,
               $U8/12,
               1
      ))),0)
))))</f>
        <v>-</v>
      </c>
      <c r="CB8" s="56" t="str">
        <f ca="1">IF($H8=リスト!$AA$4,"-",
   IF($C8="-","-",
     IF(CB$4&gt;$P8,"-",
       IF(CB$4=1,$E8,OFFSET(CB8,0,-2)-OFFSET(CB8,0,-1)
))))</f>
        <v>-</v>
      </c>
      <c r="CC8" s="57" t="str">
        <f>IF($H8=リスト!$AA$4,"-",
 IF($C8="-","-",
  IF(CB$4&gt;$P8,"-",
   CHOOSE(MATCH($H$3,リスト!$AE$3:$AE$5,0),
    ROUNDUP(
      CB8*IF(CB8*$I8&lt;=$L8,$J8,$I8)*
      IF($P8=1,
         $S8/12,
         IF(CB$4=1,
            $T8/12,
            IF(CB$4=$P8,
               $U8/12,
               1
      ))),0),
    ROUNDDOWN(
      CB8*IF(CB8*$I8&lt;=$L8,$J8,$I8)*
      IF($P8=1,
         $S8/12,
         IF(CB$4=1,
            $T8/12,
            IF(CB$4=$P8,
               $U8/12,
               1
      ))),0),
    ROUND(
      CB8*IF(CB8*$I8&lt;=$L8,$J8,$I8)*
      IF($P8=1,
         $S8/12,
         IF(CB$4=1,
            $T8/12,
            IF(CB$4=$P8,
               $U8/12,
               1
      ))),0)
))))</f>
        <v>-</v>
      </c>
      <c r="CD8" s="56" t="str">
        <f ca="1">IF($H8=リスト!$AA$4,"-",
   IF($C8="-","-",
     IF(CD$4&gt;$P8,"-",
       IF(CD$4=1,$E8,OFFSET(CD8,0,-2)-OFFSET(CD8,0,-1)
))))</f>
        <v>-</v>
      </c>
      <c r="CE8" s="57" t="str">
        <f>IF($H8=リスト!$AA$4,"-",
 IF($C8="-","-",
  IF(CD$4&gt;$P8,"-",
   CHOOSE(MATCH($H$3,リスト!$AE$3:$AE$5,0),
    ROUNDUP(
      CD8*IF(CD8*$I8&lt;=$L8,$J8,$I8)*
      IF($P8=1,
         $S8/12,
         IF(CD$4=1,
            $T8/12,
            IF(CD$4=$P8,
               $U8/12,
               1
      ))),0),
    ROUNDDOWN(
      CD8*IF(CD8*$I8&lt;=$L8,$J8,$I8)*
      IF($P8=1,
         $S8/12,
         IF(CD$4=1,
            $T8/12,
            IF(CD$4=$P8,
               $U8/12,
               1
      ))),0),
    ROUND(
      CD8*IF(CD8*$I8&lt;=$L8,$J8,$I8)*
      IF($P8=1,
         $S8/12,
         IF(CD$4=1,
            $T8/12,
            IF(CD$4=$P8,
               $U8/12,
               1
      ))),0)
))))</f>
        <v>-</v>
      </c>
      <c r="CF8" s="56" t="str">
        <f ca="1">IF($H8=リスト!$AA$4,"-",
   IF($C8="-","-",
     IF(CF$4&gt;$P8,"-",
       IF(CF$4=1,$E8,OFFSET(CF8,0,-2)-OFFSET(CF8,0,-1)
))))</f>
        <v>-</v>
      </c>
      <c r="CG8" s="57" t="str">
        <f>IF($H8=リスト!$AA$4,"-",
 IF($C8="-","-",
  IF(CF$4&gt;$P8,"-",
   CHOOSE(MATCH($H$3,リスト!$AE$3:$AE$5,0),
    ROUNDUP(
      CF8*IF(CF8*$I8&lt;=$L8,$J8,$I8)*
      IF($P8=1,
         $S8/12,
         IF(CF$4=1,
            $T8/12,
            IF(CF$4=$P8,
               $U8/12,
               1
      ))),0),
    ROUNDDOWN(
      CF8*IF(CF8*$I8&lt;=$L8,$J8,$I8)*
      IF($P8=1,
         $S8/12,
         IF(CF$4=1,
            $T8/12,
            IF(CF$4=$P8,
               $U8/12,
               1
      ))),0),
    ROUND(
      CF8*IF(CF8*$I8&lt;=$L8,$J8,$I8)*
      IF($P8=1,
         $S8/12,
         IF(CF$4=1,
            $T8/12,
            IF(CF$4=$P8,
               $U8/12,
               1
      ))),0)
))))</f>
        <v>-</v>
      </c>
      <c r="CH8" s="56" t="str">
        <f ca="1">IF($H8=リスト!$AA$4,"-",
   IF($C8="-","-",
     IF(CH$4&gt;$P8,"-",
       IF(CH$4=1,$E8,OFFSET(CH8,0,-2)-OFFSET(CH8,0,-1)
))))</f>
        <v>-</v>
      </c>
      <c r="CI8" s="57" t="str">
        <f>IF($H8=リスト!$AA$4,"-",
 IF($C8="-","-",
  IF(CH$4&gt;$P8,"-",
   CHOOSE(MATCH($H$3,リスト!$AE$3:$AE$5,0),
    ROUNDUP(
      CH8*IF(CH8*$I8&lt;=$L8,$J8,$I8)*
      IF($P8=1,
         $S8/12,
         IF(CH$4=1,
            $T8/12,
            IF(CH$4=$P8,
               $U8/12,
               1
      ))),0),
    ROUNDDOWN(
      CH8*IF(CH8*$I8&lt;=$L8,$J8,$I8)*
      IF($P8=1,
         $S8/12,
         IF(CH$4=1,
            $T8/12,
            IF(CH$4=$P8,
               $U8/12,
               1
      ))),0),
    ROUND(
      CH8*IF(CH8*$I8&lt;=$L8,$J8,$I8)*
      IF($P8=1,
         $S8/12,
         IF(CH$4=1,
            $T8/12,
            IF(CH$4=$P8,
               $U8/12,
               1
      ))),0)
))))</f>
        <v>-</v>
      </c>
      <c r="CJ8" s="56" t="str">
        <f ca="1">IF($H8=リスト!$AA$4,"-",
   IF($C8="-","-",
     IF(CJ$4&gt;$P8,"-",
       IF(CJ$4=1,$E8,OFFSET(CJ8,0,-2)-OFFSET(CJ8,0,-1)
))))</f>
        <v>-</v>
      </c>
      <c r="CK8" s="57" t="str">
        <f>IF($H8=リスト!$AA$4,"-",
 IF($C8="-","-",
  IF(CJ$4&gt;$P8,"-",
   CHOOSE(MATCH($H$3,リスト!$AE$3:$AE$5,0),
    ROUNDUP(
      CJ8*IF(CJ8*$I8&lt;=$L8,$J8,$I8)*
      IF($P8=1,
         $S8/12,
         IF(CJ$4=1,
            $T8/12,
            IF(CJ$4=$P8,
               $U8/12,
               1
      ))),0),
    ROUNDDOWN(
      CJ8*IF(CJ8*$I8&lt;=$L8,$J8,$I8)*
      IF($P8=1,
         $S8/12,
         IF(CJ$4=1,
            $T8/12,
            IF(CJ$4=$P8,
               $U8/12,
               1
      ))),0),
    ROUND(
      CJ8*IF(CJ8*$I8&lt;=$L8,$J8,$I8)*
      IF($P8=1,
         $S8/12,
         IF(CJ$4=1,
            $T8/12,
            IF(CJ$4=$P8,
               $U8/12,
               1
      ))),0)
))))</f>
        <v>-</v>
      </c>
      <c r="CL8" s="56" t="str">
        <f ca="1">IF($H8=リスト!$AA$4,"-",
   IF($C8="-","-",
     IF(CL$4&gt;$P8,"-",
       IF(CL$4=1,$E8,OFFSET(CL8,0,-2)-OFFSET(CL8,0,-1)
))))</f>
        <v>-</v>
      </c>
      <c r="CM8" s="57" t="str">
        <f>IF($H8=リスト!$AA$4,"-",
 IF($C8="-","-",
  IF(CL$4&gt;$P8,"-",
   CHOOSE(MATCH($H$3,リスト!$AE$3:$AE$5,0),
    ROUNDUP(
      CL8*IF(CL8*$I8&lt;=$L8,$J8,$I8)*
      IF($P8=1,
         $S8/12,
         IF(CL$4=1,
            $T8/12,
            IF(CL$4=$P8,
               $U8/12,
               1
      ))),0),
    ROUNDDOWN(
      CL8*IF(CL8*$I8&lt;=$L8,$J8,$I8)*
      IF($P8=1,
         $S8/12,
         IF(CL$4=1,
            $T8/12,
            IF(CL$4=$P8,
               $U8/12,
               1
      ))),0),
    ROUND(
      CL8*IF(CL8*$I8&lt;=$L8,$J8,$I8)*
      IF($P8=1,
         $S8/12,
         IF(CL$4=1,
            $T8/12,
            IF(CL$4=$P8,
               $U8/12,
               1
      ))),0)
))))</f>
        <v>-</v>
      </c>
      <c r="CN8" s="56" t="str">
        <f ca="1">IF($H8=リスト!$AA$4,"-",
   IF($C8="-","-",
     IF(CN$4&gt;$P8,"-",
       IF(CN$4=1,$E8,OFFSET(CN8,0,-2)-OFFSET(CN8,0,-1)
))))</f>
        <v>-</v>
      </c>
      <c r="CO8" s="57" t="str">
        <f>IF($H8=リスト!$AA$4,"-",
 IF($C8="-","-",
  IF(CN$4&gt;$P8,"-",
   CHOOSE(MATCH($H$3,リスト!$AE$3:$AE$5,0),
    ROUNDUP(
      CN8*IF(CN8*$I8&lt;=$L8,$J8,$I8)*
      IF($P8=1,
         $S8/12,
         IF(CN$4=1,
            $T8/12,
            IF(CN$4=$P8,
               $U8/12,
               1
      ))),0),
    ROUNDDOWN(
      CN8*IF(CN8*$I8&lt;=$L8,$J8,$I8)*
      IF($P8=1,
         $S8/12,
         IF(CN$4=1,
            $T8/12,
            IF(CN$4=$P8,
               $U8/12,
               1
      ))),0),
    ROUND(
      CN8*IF(CN8*$I8&lt;=$L8,$J8,$I8)*
      IF($P8=1,
         $S8/12,
         IF(CN$4=1,
            $T8/12,
            IF(CN$4=$P8,
               $U8/12,
               1
      ))),0)
))))</f>
        <v>-</v>
      </c>
      <c r="CP8" s="56" t="str">
        <f ca="1">IF($H8=リスト!$AA$4,"-",
   IF($C8="-","-",
     IF(CP$4&gt;$P8,"-",
       IF(CP$4=1,$E8,OFFSET(CP8,0,-2)-OFFSET(CP8,0,-1)
))))</f>
        <v>-</v>
      </c>
      <c r="CQ8" s="57" t="str">
        <f>IF($H8=リスト!$AA$4,"-",
 IF($C8="-","-",
  IF(CP$4&gt;$P8,"-",
   CHOOSE(MATCH($H$3,リスト!$AE$3:$AE$5,0),
    ROUNDUP(
      CP8*IF(CP8*$I8&lt;=$L8,$J8,$I8)*
      IF($P8=1,
         $S8/12,
         IF(CP$4=1,
            $T8/12,
            IF(CP$4=$P8,
               $U8/12,
               1
      ))),0),
    ROUNDDOWN(
      CP8*IF(CP8*$I8&lt;=$L8,$J8,$I8)*
      IF($P8=1,
         $S8/12,
         IF(CP$4=1,
            $T8/12,
            IF(CP$4=$P8,
               $U8/12,
               1
      ))),0),
    ROUND(
      CP8*IF(CP8*$I8&lt;=$L8,$J8,$I8)*
      IF($P8=1,
         $S8/12,
         IF(CP$4=1,
            $T8/12,
            IF(CP$4=$P8,
               $U8/12,
               1
      ))),0)
))))</f>
        <v>-</v>
      </c>
      <c r="CR8" s="56" t="str">
        <f ca="1">IF($H8=リスト!$AA$4,"-",
   IF($C8="-","-",
     IF(CR$4&gt;$P8,"-",
       IF(CR$4=1,$E8,OFFSET(CR8,0,-2)-OFFSET(CR8,0,-1)
))))</f>
        <v>-</v>
      </c>
      <c r="CS8" s="57" t="str">
        <f>IF($H8=リスト!$AA$4,"-",
 IF($C8="-","-",
  IF(CR$4&gt;$P8,"-",
   CHOOSE(MATCH($H$3,リスト!$AE$3:$AE$5,0),
    ROUNDUP(
      CR8*IF(CR8*$I8&lt;=$L8,$J8,$I8)*
      IF($P8=1,
         $S8/12,
         IF(CR$4=1,
            $T8/12,
            IF(CR$4=$P8,
               $U8/12,
               1
      ))),0),
    ROUNDDOWN(
      CR8*IF(CR8*$I8&lt;=$L8,$J8,$I8)*
      IF($P8=1,
         $S8/12,
         IF(CR$4=1,
            $T8/12,
            IF(CR$4=$P8,
               $U8/12,
               1
      ))),0),
    ROUND(
      CR8*IF(CR8*$I8&lt;=$L8,$J8,$I8)*
      IF($P8=1,
         $S8/12,
         IF(CR$4=1,
            $T8/12,
            IF(CR$4=$P8,
               $U8/12,
               1
      ))),0)
))))</f>
        <v>-</v>
      </c>
      <c r="CT8" s="56" t="str">
        <f ca="1">IF($H8=リスト!$AA$4,"-",
   IF($C8="-","-",
     IF(CT$4&gt;$P8,"-",
       IF(CT$4=1,$E8,OFFSET(CT8,0,-2)-OFFSET(CT8,0,-1)
))))</f>
        <v>-</v>
      </c>
      <c r="CU8" s="57" t="str">
        <f>IF($H8=リスト!$AA$4,"-",
 IF($C8="-","-",
  IF(CT$4&gt;$P8,"-",
   CHOOSE(MATCH($H$3,リスト!$AE$3:$AE$5,0),
    ROUNDUP(
      CT8*IF(CT8*$I8&lt;=$L8,$J8,$I8)*
      IF($P8=1,
         $S8/12,
         IF(CT$4=1,
            $T8/12,
            IF(CT$4=$P8,
               $U8/12,
               1
      ))),0),
    ROUNDDOWN(
      CT8*IF(CT8*$I8&lt;=$L8,$J8,$I8)*
      IF($P8=1,
         $S8/12,
         IF(CT$4=1,
            $T8/12,
            IF(CT$4=$P8,
               $U8/12,
               1
      ))),0),
    ROUND(
      CT8*IF(CT8*$I8&lt;=$L8,$J8,$I8)*
      IF($P8=1,
         $S8/12,
         IF(CT$4=1,
            $T8/12,
            IF(CT$4=$P8,
               $U8/12,
               1
      ))),0)
))))</f>
        <v>-</v>
      </c>
      <c r="CV8" s="56" t="str">
        <f ca="1">IF($H8=リスト!$AA$4,"-",
   IF($C8="-","-",
     IF(CV$4&gt;$P8,"-",
       IF(CV$4=1,$E8,OFFSET(CV8,0,-2)-OFFSET(CV8,0,-1)
))))</f>
        <v>-</v>
      </c>
      <c r="CW8" s="57" t="str">
        <f>IF($H8=リスト!$AA$4,"-",
 IF($C8="-","-",
  IF(CV$4&gt;$P8,"-",
   CHOOSE(MATCH($H$3,リスト!$AE$3:$AE$5,0),
    ROUNDUP(
      CV8*IF(CV8*$I8&lt;=$L8,$J8,$I8)*
      IF($P8=1,
         $S8/12,
         IF(CV$4=1,
            $T8/12,
            IF(CV$4=$P8,
               $U8/12,
               1
      ))),0),
    ROUNDDOWN(
      CV8*IF(CV8*$I8&lt;=$L8,$J8,$I8)*
      IF($P8=1,
         $S8/12,
         IF(CV$4=1,
            $T8/12,
            IF(CV$4=$P8,
               $U8/12,
               1
      ))),0),
    ROUND(
      CV8*IF(CV8*$I8&lt;=$L8,$J8,$I8)*
      IF($P8=1,
         $S8/12,
         IF(CV$4=1,
            $T8/12,
            IF(CV$4=$P8,
               $U8/12,
               1
      ))),0)
))))</f>
        <v>-</v>
      </c>
      <c r="CX8" s="56" t="str">
        <f ca="1">IF($H8=リスト!$AA$4,"-",
   IF($C8="-","-",
     IF(CX$4&gt;$P8,"-",
       IF(CX$4=1,$E8,OFFSET(CX8,0,-2)-OFFSET(CX8,0,-1)
))))</f>
        <v>-</v>
      </c>
      <c r="CY8" s="57" t="str">
        <f>IF($H8=リスト!$AA$4,"-",
 IF($C8="-","-",
  IF(CX$4&gt;$P8,"-",
   CHOOSE(MATCH($H$3,リスト!$AE$3:$AE$5,0),
    ROUNDUP(
      CX8*IF(CX8*$I8&lt;=$L8,$J8,$I8)*
      IF($P8=1,
         $S8/12,
         IF(CX$4=1,
            $T8/12,
            IF(CX$4=$P8,
               $U8/12,
               1
      ))),0),
    ROUNDDOWN(
      CX8*IF(CX8*$I8&lt;=$L8,$J8,$I8)*
      IF($P8=1,
         $S8/12,
         IF(CX$4=1,
            $T8/12,
            IF(CX$4=$P8,
               $U8/12,
               1
      ))),0),
    ROUND(
      CX8*IF(CX8*$I8&lt;=$L8,$J8,$I8)*
      IF($P8=1,
         $S8/12,
         IF(CX$4=1,
            $T8/12,
            IF(CX$4=$P8,
               $U8/12,
               1
      ))),0)
))))</f>
        <v>-</v>
      </c>
      <c r="CZ8" s="56" t="str">
        <f ca="1">IF($H8=リスト!$AA$4,"-",
   IF($C8="-","-",
     IF(CZ$4&gt;$P8,"-",
       IF(CZ$4=1,$E8,OFFSET(CZ8,0,-2)-OFFSET(CZ8,0,-1)
))))</f>
        <v>-</v>
      </c>
      <c r="DA8" s="57" t="str">
        <f>IF($H8=リスト!$AA$4,"-",
 IF($C8="-","-",
  IF(CZ$4&gt;$P8,"-",
   CHOOSE(MATCH($H$3,リスト!$AE$3:$AE$5,0),
    ROUNDUP(
      CZ8*IF(CZ8*$I8&lt;=$L8,$J8,$I8)*
      IF($P8=1,
         $S8/12,
         IF(CZ$4=1,
            $T8/12,
            IF(CZ$4=$P8,
               $U8/12,
               1
      ))),0),
    ROUNDDOWN(
      CZ8*IF(CZ8*$I8&lt;=$L8,$J8,$I8)*
      IF($P8=1,
         $S8/12,
         IF(CZ$4=1,
            $T8/12,
            IF(CZ$4=$P8,
               $U8/12,
               1
      ))),0),
    ROUND(
      CZ8*IF(CZ8*$I8&lt;=$L8,$J8,$I8)*
      IF($P8=1,
         $S8/12,
         IF(CZ$4=1,
            $T8/12,
            IF(CZ$4=$P8,
               $U8/12,
               1
      ))),0)
))))</f>
        <v>-</v>
      </c>
      <c r="DB8" s="56" t="str">
        <f ca="1">IF($H8=リスト!$AA$4,"-",
   IF($C8="-","-",
     IF(DB$4&gt;$P8,"-",
       IF(DB$4=1,$E8,OFFSET(DB8,0,-2)-OFFSET(DB8,0,-1)
))))</f>
        <v>-</v>
      </c>
      <c r="DC8" s="57" t="str">
        <f>IF($H8=リスト!$AA$4,"-",
 IF($C8="-","-",
  IF(DB$4&gt;$P8,"-",
   CHOOSE(MATCH($H$3,リスト!$AE$3:$AE$5,0),
    ROUNDUP(
      DB8*IF(DB8*$I8&lt;=$L8,$J8,$I8)*
      IF($P8=1,
         $S8/12,
         IF(DB$4=1,
            $T8/12,
            IF(DB$4=$P8,
               $U8/12,
               1
      ))),0),
    ROUNDDOWN(
      DB8*IF(DB8*$I8&lt;=$L8,$J8,$I8)*
      IF($P8=1,
         $S8/12,
         IF(DB$4=1,
            $T8/12,
            IF(DB$4=$P8,
               $U8/12,
               1
      ))),0),
    ROUND(
      DB8*IF(DB8*$I8&lt;=$L8,$J8,$I8)*
      IF($P8=1,
         $S8/12,
         IF(DB$4=1,
            $T8/12,
            IF(DB$4=$P8,
               $U8/12,
               1
      ))),0)
))))</f>
        <v>-</v>
      </c>
      <c r="DD8" s="56" t="str">
        <f ca="1">IF($H8=リスト!$AA$4,"-",
   IF($C8="-","-",
     IF(DD$4&gt;$P8,"-",
       IF(DD$4=1,$E8,OFFSET(DD8,0,-2)-OFFSET(DD8,0,-1)
))))</f>
        <v>-</v>
      </c>
      <c r="DE8" s="57" t="str">
        <f>IF($H8=リスト!$AA$4,"-",
 IF($C8="-","-",
  IF(DD$4&gt;$P8,"-",
   CHOOSE(MATCH($H$3,リスト!$AE$3:$AE$5,0),
    ROUNDUP(
      DD8*IF(DD8*$I8&lt;=$L8,$J8,$I8)*
      IF($P8=1,
         $S8/12,
         IF(DD$4=1,
            $T8/12,
            IF(DD$4=$P8,
               $U8/12,
               1
      ))),0),
    ROUNDDOWN(
      DD8*IF(DD8*$I8&lt;=$L8,$J8,$I8)*
      IF($P8=1,
         $S8/12,
         IF(DD$4=1,
            $T8/12,
            IF(DD$4=$P8,
               $U8/12,
               1
      ))),0),
    ROUND(
      DD8*IF(DD8*$I8&lt;=$L8,$J8,$I8)*
      IF($P8=1,
         $S8/12,
         IF(DD$4=1,
            $T8/12,
            IF(DD$4=$P8,
               $U8/12,
               1
      ))),0)
))))</f>
        <v>-</v>
      </c>
      <c r="DF8" s="56" t="str">
        <f ca="1">IF($H8=リスト!$AA$4,"-",
   IF($C8="-","-",
     IF(DF$4&gt;$P8,"-",
       IF(DF$4=1,$E8,OFFSET(DF8,0,-2)-OFFSET(DF8,0,-1)
))))</f>
        <v>-</v>
      </c>
      <c r="DG8" s="57" t="str">
        <f>IF($H8=リスト!$AA$4,"-",
 IF($C8="-","-",
  IF(DF$4&gt;$P8,"-",
   CHOOSE(MATCH($H$3,リスト!$AE$3:$AE$5,0),
    ROUNDUP(
      DF8*IF(DF8*$I8&lt;=$L8,$J8,$I8)*
      IF($P8=1,
         $S8/12,
         IF(DF$4=1,
            $T8/12,
            IF(DF$4=$P8,
               $U8/12,
               1
      ))),0),
    ROUNDDOWN(
      DF8*IF(DF8*$I8&lt;=$L8,$J8,$I8)*
      IF($P8=1,
         $S8/12,
         IF(DF$4=1,
            $T8/12,
            IF(DF$4=$P8,
               $U8/12,
               1
      ))),0),
    ROUND(
      DF8*IF(DF8*$I8&lt;=$L8,$J8,$I8)*
      IF($P8=1,
         $S8/12,
         IF(DF$4=1,
            $T8/12,
            IF(DF$4=$P8,
               $U8/12,
               1
      ))),0)
))))</f>
        <v>-</v>
      </c>
      <c r="DH8" s="56" t="str">
        <f ca="1">IF($H8=リスト!$AA$4,"-",
   IF($C8="-","-",
     IF(DH$4&gt;$P8,"-",
       IF(DH$4=1,$E8,OFFSET(DH8,0,-2)-OFFSET(DH8,0,-1)
))))</f>
        <v>-</v>
      </c>
      <c r="DI8" s="57" t="str">
        <f>IF($H8=リスト!$AA$4,"-",
 IF($C8="-","-",
  IF(DH$4&gt;$P8,"-",
   CHOOSE(MATCH($H$3,リスト!$AE$3:$AE$5,0),
    ROUNDUP(
      DH8*IF(DH8*$I8&lt;=$L8,$J8,$I8)*
      IF($P8=1,
         $S8/12,
         IF(DH$4=1,
            $T8/12,
            IF(DH$4=$P8,
               $U8/12,
               1
      ))),0),
    ROUNDDOWN(
      DH8*IF(DH8*$I8&lt;=$L8,$J8,$I8)*
      IF($P8=1,
         $S8/12,
         IF(DH$4=1,
            $T8/12,
            IF(DH$4=$P8,
               $U8/12,
               1
      ))),0),
    ROUND(
      DH8*IF(DH8*$I8&lt;=$L8,$J8,$I8)*
      IF($P8=1,
         $S8/12,
         IF(DH$4=1,
            $T8/12,
            IF(DH$4=$P8,
               $U8/12,
               1
      ))),0)
))))</f>
        <v>-</v>
      </c>
      <c r="DJ8" s="56" t="str">
        <f ca="1">IF($H8=リスト!$AA$4,"-",
   IF($C8="-","-",
     IF(DJ$4&gt;$P8,"-",
       IF(DJ$4=1,$E8,OFFSET(DJ8,0,-2)-OFFSET(DJ8,0,-1)
))))</f>
        <v>-</v>
      </c>
      <c r="DK8" s="57" t="str">
        <f>IF($H8=リスト!$AA$4,"-",
 IF($C8="-","-",
  IF(DJ$4&gt;$P8,"-",
   CHOOSE(MATCH($H$3,リスト!$AE$3:$AE$5,0),
    ROUNDUP(
      DJ8*IF(DJ8*$I8&lt;=$L8,$J8,$I8)*
      IF($P8=1,
         $S8/12,
         IF(DJ$4=1,
            $T8/12,
            IF(DJ$4=$P8,
               $U8/12,
               1
      ))),0),
    ROUNDDOWN(
      DJ8*IF(DJ8*$I8&lt;=$L8,$J8,$I8)*
      IF($P8=1,
         $S8/12,
         IF(DJ$4=1,
            $T8/12,
            IF(DJ$4=$P8,
               $U8/12,
               1
      ))),0),
    ROUND(
      DJ8*IF(DJ8*$I8&lt;=$L8,$J8,$I8)*
      IF($P8=1,
         $S8/12,
         IF(DJ$4=1,
            $T8/12,
            IF(DJ$4=$P8,
               $U8/12,
               1
      ))),0)
))))</f>
        <v>-</v>
      </c>
      <c r="DL8" s="56" t="str">
        <f ca="1">IF($H8=リスト!$AA$4,"-",
   IF($C8="-","-",
     IF(DL$4&gt;$P8,"-",
       IF(DL$4=1,$E8,OFFSET(DL8,0,-2)-OFFSET(DL8,0,-1)
))))</f>
        <v>-</v>
      </c>
      <c r="DM8" s="57" t="str">
        <f>IF($H8=リスト!$AA$4,"-",
 IF($C8="-","-",
  IF(DL$4&gt;$P8,"-",
   CHOOSE(MATCH($H$3,リスト!$AE$3:$AE$5,0),
    ROUNDUP(
      DL8*IF(DL8*$I8&lt;=$L8,$J8,$I8)*
      IF($P8=1,
         $S8/12,
         IF(DL$4=1,
            $T8/12,
            IF(DL$4=$P8,
               $U8/12,
               1
      ))),0),
    ROUNDDOWN(
      DL8*IF(DL8*$I8&lt;=$L8,$J8,$I8)*
      IF($P8=1,
         $S8/12,
         IF(DL$4=1,
            $T8/12,
            IF(DL$4=$P8,
               $U8/12,
               1
      ))),0),
    ROUND(
      DL8*IF(DL8*$I8&lt;=$L8,$J8,$I8)*
      IF($P8=1,
         $S8/12,
         IF(DL$4=1,
            $T8/12,
            IF(DL$4=$P8,
               $U8/12,
               1
      ))),0)
))))</f>
        <v>-</v>
      </c>
      <c r="DN8" s="56" t="str">
        <f ca="1">IF($H8=リスト!$AA$4,"-",
   IF($C8="-","-",
     IF(DN$4&gt;$P8,"-",
       IF(DN$4=1,$E8,OFFSET(DN8,0,-2)-OFFSET(DN8,0,-1)
))))</f>
        <v>-</v>
      </c>
      <c r="DO8" s="57" t="str">
        <f>IF($H8=リスト!$AA$4,"-",
 IF($C8="-","-",
  IF(DN$4&gt;$P8,"-",
   CHOOSE(MATCH($H$3,リスト!$AE$3:$AE$5,0),
    ROUNDUP(
      DN8*IF(DN8*$I8&lt;=$L8,$J8,$I8)*
      IF($P8=1,
         $S8/12,
         IF(DN$4=1,
            $T8/12,
            IF(DN$4=$P8,
               $U8/12,
               1
      ))),0),
    ROUNDDOWN(
      DN8*IF(DN8*$I8&lt;=$L8,$J8,$I8)*
      IF($P8=1,
         $S8/12,
         IF(DN$4=1,
            $T8/12,
            IF(DN$4=$P8,
               $U8/12,
               1
      ))),0),
    ROUND(
      DN8*IF(DN8*$I8&lt;=$L8,$J8,$I8)*
      IF($P8=1,
         $S8/12,
         IF(DN$4=1,
            $T8/12,
            IF(DN$4=$P8,
               $U8/12,
               1
      ))),0)
))))</f>
        <v>-</v>
      </c>
      <c r="DP8" s="56" t="str">
        <f ca="1">IF($H8=リスト!$AA$4,"-",
   IF($C8="-","-",
     IF(DP$4&gt;$P8,"-",
       IF(DP$4=1,$E8,OFFSET(DP8,0,-2)-OFFSET(DP8,0,-1)
))))</f>
        <v>-</v>
      </c>
      <c r="DQ8" s="57" t="str">
        <f>IF($H8=リスト!$AA$4,"-",
 IF($C8="-","-",
  IF(DP$4&gt;$P8,"-",
   CHOOSE(MATCH($H$3,リスト!$AE$3:$AE$5,0),
    ROUNDUP(
      DP8*IF(DP8*$I8&lt;=$L8,$J8,$I8)*
      IF($P8=1,
         $S8/12,
         IF(DP$4=1,
            $T8/12,
            IF(DP$4=$P8,
               $U8/12,
               1
      ))),0),
    ROUNDDOWN(
      DP8*IF(DP8*$I8&lt;=$L8,$J8,$I8)*
      IF($P8=1,
         $S8/12,
         IF(DP$4=1,
            $T8/12,
            IF(DP$4=$P8,
               $U8/12,
               1
      ))),0),
    ROUND(
      DP8*IF(DP8*$I8&lt;=$L8,$J8,$I8)*
      IF($P8=1,
         $S8/12,
         IF(DP$4=1,
            $T8/12,
            IF(DP$4=$P8,
               $U8/12,
               1
      ))),0)
))))</f>
        <v>-</v>
      </c>
      <c r="DR8" s="56" t="str">
        <f ca="1">IF($H8=リスト!$AA$4,"-",
   IF($C8="-","-",
     IF(DR$4&gt;$P8,"-",
       IF(DR$4=1,$E8,OFFSET(DR8,0,-2)-OFFSET(DR8,0,-1)
))))</f>
        <v>-</v>
      </c>
      <c r="DS8" s="57" t="str">
        <f>IF($H8=リスト!$AA$4,"-",
 IF($C8="-","-",
  IF(DR$4&gt;$P8,"-",
   CHOOSE(MATCH($H$3,リスト!$AE$3:$AE$5,0),
    ROUNDUP(
      DR8*IF(DR8*$I8&lt;=$L8,$J8,$I8)*
      IF($P8=1,
         ($G8-$F8+1)/$Q8,
         IF(DR$4=1,
            ($M8-$F8+1)/$Q8,
            IF(DR$4=$P8,
               ($G8-$O8+1)/$R8,
               1
      ))),0),
    ROUNDDOWN(
      DR8*IF(DR8*$I8&lt;=$L8,$J8,$I8)*
      IF($P8=1,
         ($G8-$F8+1)/$Q8,
         IF(DR$4=1,
            ($M8-$F8+1)/$Q8,
            IF(DR$4=$P8,
               ($G8-$O8+1)/$R8,
               1
      ))),0),
    ROUND(
      DR8*IF(DR8*$I8&lt;=$L8,$J8,$I8)*
      IF($P8=1,
         ($G8-$F8+1)/$Q8,
         IF(DR$4=1,
            ($M8-$F8+1)/$Q8,
            IF(DR$4=$P8,
               ($G8-$O8+1)/$R8,
               1
      ))),0)
))))</f>
        <v>-</v>
      </c>
      <c r="DT8" s="56" t="str" cm="1">
        <f t="array" ref="DT8">IF($H8&lt;&gt;リスト!$AA$3,"-",$E8-SUMPRODUCT(IFERROR($Y8:$DS8*1,0), --(MOD(COLUMN($Y8:$DS8)-COLUMN($Y8),2)=0)))</f>
        <v>-</v>
      </c>
      <c r="DU8" s="56" t="str">
        <f>IF($H8&lt;&gt;リスト!$AA$4,"-",
    IF($H$3=リスト!$AE$3,$E8-ROUNDUP($E8*I8*$W8/12,0),
    IF($H$3=リスト!$AE$4,$E8-ROUNDDOWN($E8*I8*$W8/12,0),
    IF($H$3=リスト!$AE$5,$E8-ROUND($E8*I8*$W8/12,0),
    "-"))))</f>
        <v>-</v>
      </c>
    </row>
    <row r="9" spans="2:125">
      <c r="B9" s="54">
        <v>4</v>
      </c>
      <c r="C9" s="55" t="str">
        <f>IF('財産処分報告(災害)用'!$C9="","-",'財産処分報告(災害)用'!$C9)</f>
        <v>-</v>
      </c>
      <c r="D9" s="55" t="str">
        <f>'財産処分報告(災害)用'!$E9</f>
        <v>-</v>
      </c>
      <c r="E9" s="56" t="str">
        <f>IF('財産処分報告(災害)用'!$J9="","-",'財産処分報告(災害)用'!$J9)</f>
        <v>-</v>
      </c>
      <c r="F9" s="101" t="str">
        <f>IF('財産処分報告(災害)用'!$K9="","-",'財産処分報告(災害)用'!$K9)</f>
        <v>-</v>
      </c>
      <c r="G9" s="101" t="str">
        <f>IF('財産処分報告(災害)用'!$L9="","-",'財産処分報告(災害)用'!$L9)</f>
        <v>-</v>
      </c>
      <c r="H9" s="55" t="str">
        <f>IF('財産処分報告(災害)用'!$M9="","-",'財産処分報告(災害)用'!$M9)</f>
        <v>-</v>
      </c>
      <c r="I9" s="55" t="str">
        <f>IF(OR($D9="-",$H9="-"),"-",INDEX(リスト!$AG$2:$AI$101,MATCH($D9,リスト!$AG$2:$AG$101,0),MATCH($H9,リスト!$AG$2:$AI$2,0)))</f>
        <v>-</v>
      </c>
      <c r="J9" s="55" t="str">
        <f>IF(OR($D9="-",$H9="-"),"-",IF($H9=リスト!$AA$4,"-",INDEX(リスト!$AG$2:$AK$101,MATCH($D9,リスト!$AG$2:$AG$101,0),4)))</f>
        <v>-</v>
      </c>
      <c r="K9" s="55" t="str">
        <f>IF(OR($D9="-",$H9="-"),"-",IF($H9=リスト!$AA$4,"-",INDEX(リスト!$AG$2:$AK$101,MATCH($D9,リスト!$AG$2:$AG$101,0),5)))</f>
        <v>-</v>
      </c>
      <c r="L9" s="55" t="str">
        <f t="shared" si="0"/>
        <v>-</v>
      </c>
      <c r="M9" s="101" t="str">
        <f t="shared" si="1"/>
        <v>-</v>
      </c>
      <c r="N9" s="101" t="str">
        <f t="shared" si="2"/>
        <v>-</v>
      </c>
      <c r="O9" s="101" t="str">
        <f t="shared" si="3"/>
        <v>-</v>
      </c>
      <c r="P9" s="102" t="str">
        <f t="shared" si="4"/>
        <v>-</v>
      </c>
      <c r="Q9" s="115" t="str">
        <f t="shared" si="5"/>
        <v>-</v>
      </c>
      <c r="R9" s="116" t="str">
        <f t="shared" si="6"/>
        <v>-</v>
      </c>
      <c r="S9" s="102" t="str">
        <f t="shared" si="7"/>
        <v>-</v>
      </c>
      <c r="T9" s="102" t="str">
        <f t="shared" si="8"/>
        <v>-</v>
      </c>
      <c r="U9" s="102" t="str">
        <f t="shared" si="9"/>
        <v>-</v>
      </c>
      <c r="V9" s="102" t="str">
        <f t="shared" si="10"/>
        <v>-</v>
      </c>
      <c r="W9" s="55" t="str">
        <f t="shared" si="11"/>
        <v>-</v>
      </c>
      <c r="X9" s="56" t="str">
        <f ca="1">IF($H9=リスト!$AA$4,"-",
   IF($C9="-","-",
     IF(X$4&gt;$P9,"-",
       IF(X$4=1,$E9,OFFSET(X9,0,-2)-OFFSET(X9,0,-1)
))))</f>
        <v>-</v>
      </c>
      <c r="Y9" s="57" t="str">
        <f>IF($H9=リスト!$AA$4,"-",
 IF($C9="-","-",
  IF(X$4&gt;$P9,"-",
   CHOOSE(MATCH($H$3,リスト!$AE$3:$AE$5,0),
    ROUNDUP(
      X9*IF(X9*$I9&lt;=$L9,$J9,$I9)*
      IF($P9=1,
         $S9/12,
         IF(X$4=1,
            $T9/12,
            IF(X$4=$P9,
               $U9/12,
               1
      ))),0),
    ROUNDDOWN(
      X9*IF(X9*$I9&lt;=$L9,$J9,$I9)*
      IF($P9=1,
         $S9/12,
         IF(X$4=1,
            $T9/12,
            IF(X$4=$P9,
               $U9/12,
               1
      ))),0),
    ROUND(
      X9*IF(X9*$I9&lt;=$L9,$J9,$I9)*
      IF($P9=1,
         $S9/12,
         IF(X$4=1,
            $T9/12,
            IF(X$4=$P9,
               $U9/12,
               1
      ))),0)
))))</f>
        <v>-</v>
      </c>
      <c r="Z9" s="56" t="str">
        <f ca="1">IF($H9=リスト!$AA$4,"-",
   IF($C9="-","-",
     IF(Z$4&gt;$P9,"-",
       IF(Z$4=1,$E9,OFFSET(Z9,0,-2)-OFFSET(Z9,0,-1)
))))</f>
        <v>-</v>
      </c>
      <c r="AA9" s="57" t="str">
        <f>IF($H9=リスト!$AA$4,"-",
 IF($C9="-","-",
  IF(Z$4&gt;$P9,"-",
   CHOOSE(MATCH($H$3,リスト!$AE$3:$AE$5,0),
    ROUNDUP(
      Z9*IF(Z9*$I9&lt;=$L9,$J9,$I9)*
      IF($P9=1,
         $S9/12,
         IF(Z$4=1,
            $T9/12,
            IF(Z$4=$P9,
               $U9/12,
               1
      ))),0),
    ROUNDDOWN(
      Z9*IF(Z9*$I9&lt;=$L9,$J9,$I9)*
      IF($P9=1,
         $S9/12,
         IF(Z$4=1,
            $T9/12,
            IF(Z$4=$P9,
               $U9/12,
               1
      ))),0),
    ROUND(
      Z9*IF(Z9*$I9&lt;=$L9,$J9,$I9)*
      IF($P9=1,
         $S9/12,
         IF(Z$4=1,
            $T9/12,
            IF(Z$4=$P9,
               $U9/12,
               1
      ))),0)
))))</f>
        <v>-</v>
      </c>
      <c r="AB9" s="56" t="str">
        <f ca="1">IF($H9=リスト!$AA$4,"-",
   IF($C9="-","-",
     IF(AB$4&gt;$P9,"-",
       IF(AB$4=1,$E9,OFFSET(AB9,0,-2)-OFFSET(AB9,0,-1)
))))</f>
        <v>-</v>
      </c>
      <c r="AC9" s="57" t="str">
        <f>IF($H9=リスト!$AA$4,"-",
 IF($C9="-","-",
  IF(AB$4&gt;$P9,"-",
   CHOOSE(MATCH($H$3,リスト!$AE$3:$AE$5,0),
    ROUNDUP(
      AB9*IF(AB9*$I9&lt;=$L9,$J9,$I9)*
      IF($P9=1,
         $S9/12,
         IF(AB$4=1,
            $T9/12,
            IF(AB$4=$P9,
               $U9/12,
               1
      ))),0),
    ROUNDDOWN(
      AB9*IF(AB9*$I9&lt;=$L9,$J9,$I9)*
      IF($P9=1,
         $S9/12,
         IF(AB$4=1,
            $T9/12,
            IF(AB$4=$P9,
               $U9/12,
               1
      ))),0),
    ROUND(
      AB9*IF(AB9*$I9&lt;=$L9,$J9,$I9)*
      IF($P9=1,
         $S9/12,
         IF(AB$4=1,
            $T9/12,
            IF(AB$4=$P9,
               $U9/12,
               1
      ))),0)
))))</f>
        <v>-</v>
      </c>
      <c r="AD9" s="56" t="str">
        <f ca="1">IF($H9=リスト!$AA$4,"-",
   IF($C9="-","-",
     IF(AD$4&gt;$P9,"-",
       IF(AD$4=1,$E9,OFFSET(AD9,0,-2)-OFFSET(AD9,0,-1)
))))</f>
        <v>-</v>
      </c>
      <c r="AE9" s="57" t="str">
        <f>IF($H9=リスト!$AA$4,"-",
 IF($C9="-","-",
  IF(AD$4&gt;$P9,"-",
   CHOOSE(MATCH($H$3,リスト!$AE$3:$AE$5,0),
    ROUNDUP(
      AD9*IF(AD9*$I9&lt;=$L9,$J9,$I9)*
      IF($P9=1,
         $S9/12,
         IF(AD$4=1,
            $T9/12,
            IF(AD$4=$P9,
               $U9/12,
               1
      ))),0),
    ROUNDDOWN(
      AD9*IF(AD9*$I9&lt;=$L9,$J9,$I9)*
      IF($P9=1,
         $S9/12,
         IF(AD$4=1,
            $T9/12,
            IF(AD$4=$P9,
               $U9/12,
               1
      ))),0),
    ROUND(
      AD9*IF(AD9*$I9&lt;=$L9,$J9,$I9)*
      IF($P9=1,
         $S9/12,
         IF(AD$4=1,
            $T9/12,
            IF(AD$4=$P9,
               $U9/12,
               1
      ))),0)
))))</f>
        <v>-</v>
      </c>
      <c r="AF9" s="56" t="str">
        <f ca="1">IF($H9=リスト!$AA$4,"-",
   IF($C9="-","-",
     IF(AF$4&gt;$P9,"-",
       IF(AF$4=1,$E9,OFFSET(AF9,0,-2)-OFFSET(AF9,0,-1)
))))</f>
        <v>-</v>
      </c>
      <c r="AG9" s="57" t="str">
        <f>IF($H9=リスト!$AA$4,"-",
 IF($C9="-","-",
  IF(AF$4&gt;$P9,"-",
   CHOOSE(MATCH($H$3,リスト!$AE$3:$AE$5,0),
    ROUNDUP(
      AF9*IF(AF9*$I9&lt;=$L9,$J9,$I9)*
      IF($P9=1,
         $S9/12,
         IF(AF$4=1,
            $T9/12,
            IF(AF$4=$P9,
               $U9/12,
               1
      ))),0),
    ROUNDDOWN(
      AF9*IF(AF9*$I9&lt;=$L9,$J9,$I9)*
      IF($P9=1,
         $S9/12,
         IF(AF$4=1,
            $T9/12,
            IF(AF$4=$P9,
               $U9/12,
               1
      ))),0),
    ROUND(
      AF9*IF(AF9*$I9&lt;=$L9,$J9,$I9)*
      IF($P9=1,
         $S9/12,
         IF(AF$4=1,
            $T9/12,
            IF(AF$4=$P9,
               $U9/12,
               1
      ))),0)
))))</f>
        <v>-</v>
      </c>
      <c r="AH9" s="56" t="str">
        <f ca="1">IF($H9=リスト!$AA$4,"-",
   IF($C9="-","-",
     IF(AH$4&gt;$P9,"-",
       IF(AH$4=1,$E9,OFFSET(AH9,0,-2)-OFFSET(AH9,0,-1)
))))</f>
        <v>-</v>
      </c>
      <c r="AI9" s="57" t="str">
        <f>IF($H9=リスト!$AA$4,"-",
 IF($C9="-","-",
  IF(AH$4&gt;$P9,"-",
   CHOOSE(MATCH($H$3,リスト!$AE$3:$AE$5,0),
    ROUNDUP(
      AH9*IF(AH9*$I9&lt;=$L9,$J9,$I9)*
      IF($P9=1,
         $S9/12,
         IF(AH$4=1,
            $T9/12,
            IF(AH$4=$P9,
               $U9/12,
               1
      ))),0),
    ROUNDDOWN(
      AH9*IF(AH9*$I9&lt;=$L9,$J9,$I9)*
      IF($P9=1,
         $S9/12,
         IF(AH$4=1,
            $T9/12,
            IF(AH$4=$P9,
               $U9/12,
               1
      ))),0),
    ROUND(
      AH9*IF(AH9*$I9&lt;=$L9,$J9,$I9)*
      IF($P9=1,
         $S9/12,
         IF(AH$4=1,
            $T9/12,
            IF(AH$4=$P9,
               $U9/12,
               1
      ))),0)
))))</f>
        <v>-</v>
      </c>
      <c r="AJ9" s="56" t="str">
        <f ca="1">IF($H9=リスト!$AA$4,"-",
   IF($C9="-","-",
     IF(AJ$4&gt;$P9,"-",
       IF(AJ$4=1,$E9,OFFSET(AJ9,0,-2)-OFFSET(AJ9,0,-1)
))))</f>
        <v>-</v>
      </c>
      <c r="AK9" s="57" t="str">
        <f>IF($H9=リスト!$AA$4,"-",
 IF($C9="-","-",
  IF(AJ$4&gt;$P9,"-",
   CHOOSE(MATCH($H$3,リスト!$AE$3:$AE$5,0),
    ROUNDUP(
      AJ9*IF(AJ9*$I9&lt;=$L9,$J9,$I9)*
      IF($P9=1,
         $S9/12,
         IF(AJ$4=1,
            $T9/12,
            IF(AJ$4=$P9,
               $U9/12,
               1
      ))),0),
    ROUNDDOWN(
      AJ9*IF(AJ9*$I9&lt;=$L9,$J9,$I9)*
      IF($P9=1,
         $S9/12,
         IF(AJ$4=1,
            $T9/12,
            IF(AJ$4=$P9,
               $U9/12,
               1
      ))),0),
    ROUND(
      AJ9*IF(AJ9*$I9&lt;=$L9,$J9,$I9)*
      IF($P9=1,
         $S9/12,
         IF(AJ$4=1,
            $T9/12,
            IF(AJ$4=$P9,
               $U9/12,
               1
      ))),0)
))))</f>
        <v>-</v>
      </c>
      <c r="AL9" s="56" t="str">
        <f ca="1">IF($H9=リスト!$AA$4,"-",
   IF($C9="-","-",
     IF(AL$4&gt;$P9,"-",
       IF(AL$4=1,$E9,OFFSET(AL9,0,-2)-OFFSET(AL9,0,-1)
))))</f>
        <v>-</v>
      </c>
      <c r="AM9" s="57" t="str">
        <f>IF($H9=リスト!$AA$4,"-",
 IF($C9="-","-",
  IF(AL$4&gt;$P9,"-",
   CHOOSE(MATCH($H$3,リスト!$AE$3:$AE$5,0),
    ROUNDUP(
      AL9*IF(AL9*$I9&lt;=$L9,$J9,$I9)*
      IF($P9=1,
         $S9/12,
         IF(AL$4=1,
            $T9/12,
            IF(AL$4=$P9,
               $U9/12,
               1
      ))),0),
    ROUNDDOWN(
      AL9*IF(AL9*$I9&lt;=$L9,$J9,$I9)*
      IF($P9=1,
         $S9/12,
         IF(AL$4=1,
            $T9/12,
            IF(AL$4=$P9,
               $U9/12,
               1
      ))),0),
    ROUND(
      AL9*IF(AL9*$I9&lt;=$L9,$J9,$I9)*
      IF($P9=1,
         $S9/12,
         IF(AL$4=1,
            $T9/12,
            IF(AL$4=$P9,
               $U9/12,
               1
      ))),0)
))))</f>
        <v>-</v>
      </c>
      <c r="AN9" s="56" t="str">
        <f ca="1">IF($H9=リスト!$AA$4,"-",
   IF($C9="-","-",
     IF(AN$4&gt;$P9,"-",
       IF(AN$4=1,$E9,OFFSET(AN9,0,-2)-OFFSET(AN9,0,-1)
))))</f>
        <v>-</v>
      </c>
      <c r="AO9" s="57" t="str">
        <f>IF($H9=リスト!$AA$4,"-",
 IF($C9="-","-",
  IF(AN$4&gt;$P9,"-",
   CHOOSE(MATCH($H$3,リスト!$AE$3:$AE$5,0),
    ROUNDUP(
      AN9*IF(AN9*$I9&lt;=$L9,$J9,$I9)*
      IF($P9=1,
         $S9/12,
         IF(AN$4=1,
            $T9/12,
            IF(AN$4=$P9,
               $U9/12,
               1
      ))),0),
    ROUNDDOWN(
      AN9*IF(AN9*$I9&lt;=$L9,$J9,$I9)*
      IF($P9=1,
         $S9/12,
         IF(AN$4=1,
            $T9/12,
            IF(AN$4=$P9,
               $U9/12,
               1
      ))),0),
    ROUND(
      AN9*IF(AN9*$I9&lt;=$L9,$J9,$I9)*
      IF($P9=1,
         $S9/12,
         IF(AN$4=1,
            $T9/12,
            IF(AN$4=$P9,
               $U9/12,
               1
      ))),0)
))))</f>
        <v>-</v>
      </c>
      <c r="AP9" s="56" t="str">
        <f ca="1">IF($H9=リスト!$AA$4,"-",
   IF($C9="-","-",
     IF(AP$4&gt;$P9,"-",
       IF(AP$4=1,$E9,OFFSET(AP9,0,-2)-OFFSET(AP9,0,-1)
))))</f>
        <v>-</v>
      </c>
      <c r="AQ9" s="57" t="str">
        <f>IF($H9=リスト!$AA$4,"-",
 IF($C9="-","-",
  IF(AP$4&gt;$P9,"-",
   CHOOSE(MATCH($H$3,リスト!$AE$3:$AE$5,0),
    ROUNDUP(
      AP9*IF(AP9*$I9&lt;=$L9,$J9,$I9)*
      IF($P9=1,
         $S9/12,
         IF(AP$4=1,
            $T9/12,
            IF(AP$4=$P9,
               $U9/12,
               1
      ))),0),
    ROUNDDOWN(
      AP9*IF(AP9*$I9&lt;=$L9,$J9,$I9)*
      IF($P9=1,
         $S9/12,
         IF(AP$4=1,
            $T9/12,
            IF(AP$4=$P9,
               $U9/12,
               1
      ))),0),
    ROUND(
      AP9*IF(AP9*$I9&lt;=$L9,$J9,$I9)*
      IF($P9=1,
         $S9/12,
         IF(AP$4=1,
            $T9/12,
            IF(AP$4=$P9,
               $U9/12,
               1
      ))),0)
))))</f>
        <v>-</v>
      </c>
      <c r="AR9" s="56" t="str">
        <f ca="1">IF($H9=リスト!$AA$4,"-",
   IF($C9="-","-",
     IF(AR$4&gt;$P9,"-",
       IF(AR$4=1,$E9,OFFSET(AR9,0,-2)-OFFSET(AR9,0,-1)
))))</f>
        <v>-</v>
      </c>
      <c r="AS9" s="57" t="str">
        <f>IF($H9=リスト!$AA$4,"-",
 IF($C9="-","-",
  IF(AR$4&gt;$P9,"-",
   CHOOSE(MATCH($H$3,リスト!$AE$3:$AE$5,0),
    ROUNDUP(
      AR9*IF(AR9*$I9&lt;=$L9,$J9,$I9)*
      IF($P9=1,
         $S9/12,
         IF(AR$4=1,
            $T9/12,
            IF(AR$4=$P9,
               $U9/12,
               1
      ))),0),
    ROUNDDOWN(
      AR9*IF(AR9*$I9&lt;=$L9,$J9,$I9)*
      IF($P9=1,
         $S9/12,
         IF(AR$4=1,
            $T9/12,
            IF(AR$4=$P9,
               $U9/12,
               1
      ))),0),
    ROUND(
      AR9*IF(AR9*$I9&lt;=$L9,$J9,$I9)*
      IF($P9=1,
         $S9/12,
         IF(AR$4=1,
            $T9/12,
            IF(AR$4=$P9,
               $U9/12,
               1
      ))),0)
))))</f>
        <v>-</v>
      </c>
      <c r="AT9" s="56" t="str">
        <f ca="1">IF($H9=リスト!$AA$4,"-",
   IF($C9="-","-",
     IF(AT$4&gt;$P9,"-",
       IF(AT$4=1,$E9,OFFSET(AT9,0,-2)-OFFSET(AT9,0,-1)
))))</f>
        <v>-</v>
      </c>
      <c r="AU9" s="57" t="str">
        <f>IF($H9=リスト!$AA$4,"-",
 IF($C9="-","-",
  IF(AT$4&gt;$P9,"-",
   CHOOSE(MATCH($H$3,リスト!$AE$3:$AE$5,0),
    ROUNDUP(
      AT9*IF(AT9*$I9&lt;=$L9,$J9,$I9)*
      IF($P9=1,
         $S9/12,
         IF(AT$4=1,
            $T9/12,
            IF(AT$4=$P9,
               $U9/12,
               1
      ))),0),
    ROUNDDOWN(
      AT9*IF(AT9*$I9&lt;=$L9,$J9,$I9)*
      IF($P9=1,
         $S9/12,
         IF(AT$4=1,
            $T9/12,
            IF(AT$4=$P9,
               $U9/12,
               1
      ))),0),
    ROUND(
      AT9*IF(AT9*$I9&lt;=$L9,$J9,$I9)*
      IF($P9=1,
         $S9/12,
         IF(AT$4=1,
            $T9/12,
            IF(AT$4=$P9,
               $U9/12,
               1
      ))),0)
))))</f>
        <v>-</v>
      </c>
      <c r="AV9" s="56" t="str">
        <f ca="1">IF($H9=リスト!$AA$4,"-",
   IF($C9="-","-",
     IF(AV$4&gt;$P9,"-",
       IF(AV$4=1,$E9,OFFSET(AV9,0,-2)-OFFSET(AV9,0,-1)
))))</f>
        <v>-</v>
      </c>
      <c r="AW9" s="57" t="str">
        <f>IF($H9=リスト!$AA$4,"-",
 IF($C9="-","-",
  IF(AV$4&gt;$P9,"-",
   CHOOSE(MATCH($H$3,リスト!$AE$3:$AE$5,0),
    ROUNDUP(
      AV9*IF(AV9*$I9&lt;=$L9,$J9,$I9)*
      IF($P9=1,
         $S9/12,
         IF(AV$4=1,
            $T9/12,
            IF(AV$4=$P9,
               $U9/12,
               1
      ))),0),
    ROUNDDOWN(
      AV9*IF(AV9*$I9&lt;=$L9,$J9,$I9)*
      IF($P9=1,
         $S9/12,
         IF(AV$4=1,
            $T9/12,
            IF(AV$4=$P9,
               $U9/12,
               1
      ))),0),
    ROUND(
      AV9*IF(AV9*$I9&lt;=$L9,$J9,$I9)*
      IF($P9=1,
         $S9/12,
         IF(AV$4=1,
            $T9/12,
            IF(AV$4=$P9,
               $U9/12,
               1
      ))),0)
))))</f>
        <v>-</v>
      </c>
      <c r="AX9" s="56" t="str">
        <f ca="1">IF($H9=リスト!$AA$4,"-",
   IF($C9="-","-",
     IF(AX$4&gt;$P9,"-",
       IF(AX$4=1,$E9,OFFSET(AX9,0,-2)-OFFSET(AX9,0,-1)
))))</f>
        <v>-</v>
      </c>
      <c r="AY9" s="57" t="str">
        <f>IF($H9=リスト!$AA$4,"-",
 IF($C9="-","-",
  IF(AX$4&gt;$P9,"-",
   CHOOSE(MATCH($H$3,リスト!$AE$3:$AE$5,0),
    ROUNDUP(
      AX9*IF(AX9*$I9&lt;=$L9,$J9,$I9)*
      IF($P9=1,
         $S9/12,
         IF(AX$4=1,
            $T9/12,
            IF(AX$4=$P9,
               $U9/12,
               1
      ))),0),
    ROUNDDOWN(
      AX9*IF(AX9*$I9&lt;=$L9,$J9,$I9)*
      IF($P9=1,
         $S9/12,
         IF(AX$4=1,
            $T9/12,
            IF(AX$4=$P9,
               $U9/12,
               1
      ))),0),
    ROUND(
      AX9*IF(AX9*$I9&lt;=$L9,$J9,$I9)*
      IF($P9=1,
         $S9/12,
         IF(AX$4=1,
            $T9/12,
            IF(AX$4=$P9,
               $U9/12,
               1
      ))),0)
))))</f>
        <v>-</v>
      </c>
      <c r="AZ9" s="56" t="str">
        <f ca="1">IF($H9=リスト!$AA$4,"-",
   IF($C9="-","-",
     IF(AZ$4&gt;$P9,"-",
       IF(AZ$4=1,$E9,OFFSET(AZ9,0,-2)-OFFSET(AZ9,0,-1)
))))</f>
        <v>-</v>
      </c>
      <c r="BA9" s="57" t="str">
        <f>IF($H9=リスト!$AA$4,"-",
 IF($C9="-","-",
  IF(AZ$4&gt;$P9,"-",
   CHOOSE(MATCH($H$3,リスト!$AE$3:$AE$5,0),
    ROUNDUP(
      AZ9*IF(AZ9*$I9&lt;=$L9,$J9,$I9)*
      IF($P9=1,
         $S9/12,
         IF(AZ$4=1,
            $T9/12,
            IF(AZ$4=$P9,
               $U9/12,
               1
      ))),0),
    ROUNDDOWN(
      AZ9*IF(AZ9*$I9&lt;=$L9,$J9,$I9)*
      IF($P9=1,
         $S9/12,
         IF(AZ$4=1,
            $T9/12,
            IF(AZ$4=$P9,
               $U9/12,
               1
      ))),0),
    ROUND(
      AZ9*IF(AZ9*$I9&lt;=$L9,$J9,$I9)*
      IF($P9=1,
         $S9/12,
         IF(AZ$4=1,
            $T9/12,
            IF(AZ$4=$P9,
               $U9/12,
               1
      ))),0)
))))</f>
        <v>-</v>
      </c>
      <c r="BB9" s="56" t="str">
        <f ca="1">IF($H9=リスト!$AA$4,"-",
   IF($C9="-","-",
     IF(BB$4&gt;$P9,"-",
       IF(BB$4=1,$E9,OFFSET(BB9,0,-2)-OFFSET(BB9,0,-1)
))))</f>
        <v>-</v>
      </c>
      <c r="BC9" s="57" t="str">
        <f>IF($H9=リスト!$AA$4,"-",
 IF($C9="-","-",
  IF(BB$4&gt;$P9,"-",
   CHOOSE(MATCH($H$3,リスト!$AE$3:$AE$5,0),
    ROUNDUP(
      BB9*IF(BB9*$I9&lt;=$L9,$J9,$I9)*
      IF($P9=1,
         $S9/12,
         IF(BB$4=1,
            $T9/12,
            IF(BB$4=$P9,
               $U9/12,
               1
      ))),0),
    ROUNDDOWN(
      BB9*IF(BB9*$I9&lt;=$L9,$J9,$I9)*
      IF($P9=1,
         $S9/12,
         IF(BB$4=1,
            $T9/12,
            IF(BB$4=$P9,
               $U9/12,
               1
      ))),0),
    ROUND(
      BB9*IF(BB9*$I9&lt;=$L9,$J9,$I9)*
      IF($P9=1,
         $S9/12,
         IF(BB$4=1,
            $T9/12,
            IF(BB$4=$P9,
               $U9/12,
               1
      ))),0)
))))</f>
        <v>-</v>
      </c>
      <c r="BD9" s="56" t="str">
        <f ca="1">IF($H9=リスト!$AA$4,"-",
   IF($C9="-","-",
     IF(BD$4&gt;$P9,"-",
       IF(BD$4=1,$E9,OFFSET(BD9,0,-2)-OFFSET(BD9,0,-1)
))))</f>
        <v>-</v>
      </c>
      <c r="BE9" s="57" t="str">
        <f>IF($H9=リスト!$AA$4,"-",
 IF($C9="-","-",
  IF(BD$4&gt;$P9,"-",
   CHOOSE(MATCH($H$3,リスト!$AE$3:$AE$5,0),
    ROUNDUP(
      BD9*IF(BD9*$I9&lt;=$L9,$J9,$I9)*
      IF($P9=1,
         $S9/12,
         IF(BD$4=1,
            $T9/12,
            IF(BD$4=$P9,
               $U9/12,
               1
      ))),0),
    ROUNDDOWN(
      BD9*IF(BD9*$I9&lt;=$L9,$J9,$I9)*
      IF($P9=1,
         $S9/12,
         IF(BD$4=1,
            $T9/12,
            IF(BD$4=$P9,
               $U9/12,
               1
      ))),0),
    ROUND(
      BD9*IF(BD9*$I9&lt;=$L9,$J9,$I9)*
      IF($P9=1,
         $S9/12,
         IF(BD$4=1,
            $T9/12,
            IF(BD$4=$P9,
               $U9/12,
               1
      ))),0)
))))</f>
        <v>-</v>
      </c>
      <c r="BF9" s="56" t="str">
        <f ca="1">IF($H9=リスト!$AA$4,"-",
   IF($C9="-","-",
     IF(BF$4&gt;$P9,"-",
       IF(BF$4=1,$E9,OFFSET(BF9,0,-2)-OFFSET(BF9,0,-1)
))))</f>
        <v>-</v>
      </c>
      <c r="BG9" s="57" t="str">
        <f>IF($H9=リスト!$AA$4,"-",
 IF($C9="-","-",
  IF(BF$4&gt;$P9,"-",
   CHOOSE(MATCH($H$3,リスト!$AE$3:$AE$5,0),
    ROUNDUP(
      BF9*IF(BF9*$I9&lt;=$L9,$J9,$I9)*
      IF($P9=1,
         $S9/12,
         IF(BF$4=1,
            $T9/12,
            IF(BF$4=$P9,
               $U9/12,
               1
      ))),0),
    ROUNDDOWN(
      BF9*IF(BF9*$I9&lt;=$L9,$J9,$I9)*
      IF($P9=1,
         $S9/12,
         IF(BF$4=1,
            $T9/12,
            IF(BF$4=$P9,
               $U9/12,
               1
      ))),0),
    ROUND(
      BF9*IF(BF9*$I9&lt;=$L9,$J9,$I9)*
      IF($P9=1,
         $S9/12,
         IF(BF$4=1,
            $T9/12,
            IF(BF$4=$P9,
               $U9/12,
               1
      ))),0)
))))</f>
        <v>-</v>
      </c>
      <c r="BH9" s="56" t="str">
        <f ca="1">IF($H9=リスト!$AA$4,"-",
   IF($C9="-","-",
     IF(BH$4&gt;$P9,"-",
       IF(BH$4=1,$E9,OFFSET(BH9,0,-2)-OFFSET(BH9,0,-1)
))))</f>
        <v>-</v>
      </c>
      <c r="BI9" s="57" t="str">
        <f>IF($H9=リスト!$AA$4,"-",
 IF($C9="-","-",
  IF(BH$4&gt;$P9,"-",
   CHOOSE(MATCH($H$3,リスト!$AE$3:$AE$5,0),
    ROUNDUP(
      BH9*IF(BH9*$I9&lt;=$L9,$J9,$I9)*
      IF($P9=1,
         $S9/12,
         IF(BH$4=1,
            $T9/12,
            IF(BH$4=$P9,
               $U9/12,
               1
      ))),0),
    ROUNDDOWN(
      BH9*IF(BH9*$I9&lt;=$L9,$J9,$I9)*
      IF($P9=1,
         $S9/12,
         IF(BH$4=1,
            $T9/12,
            IF(BH$4=$P9,
               $U9/12,
               1
      ))),0),
    ROUND(
      BH9*IF(BH9*$I9&lt;=$L9,$J9,$I9)*
      IF($P9=1,
         $S9/12,
         IF(BH$4=1,
            $T9/12,
            IF(BH$4=$P9,
               $U9/12,
               1
      ))),0)
))))</f>
        <v>-</v>
      </c>
      <c r="BJ9" s="56" t="str">
        <f ca="1">IF($H9=リスト!$AA$4,"-",
   IF($C9="-","-",
     IF(BJ$4&gt;$P9,"-",
       IF(BJ$4=1,$E9,OFFSET(BJ9,0,-2)-OFFSET(BJ9,0,-1)
))))</f>
        <v>-</v>
      </c>
      <c r="BK9" s="57" t="str">
        <f>IF($H9=リスト!$AA$4,"-",
 IF($C9="-","-",
  IF(BJ$4&gt;$P9,"-",
   CHOOSE(MATCH($H$3,リスト!$AE$3:$AE$5,0),
    ROUNDUP(
      BJ9*IF(BJ9*$I9&lt;=$L9,$J9,$I9)*
      IF($P9=1,
         $S9/12,
         IF(BJ$4=1,
            $T9/12,
            IF(BJ$4=$P9,
               $U9/12,
               1
      ))),0),
    ROUNDDOWN(
      BJ9*IF(BJ9*$I9&lt;=$L9,$J9,$I9)*
      IF($P9=1,
         $S9/12,
         IF(BJ$4=1,
            $T9/12,
            IF(BJ$4=$P9,
               $U9/12,
               1
      ))),0),
    ROUND(
      BJ9*IF(BJ9*$I9&lt;=$L9,$J9,$I9)*
      IF($P9=1,
         $S9/12,
         IF(BJ$4=1,
            $T9/12,
            IF(BJ$4=$P9,
               $U9/12,
               1
      ))),0)
))))</f>
        <v>-</v>
      </c>
      <c r="BL9" s="56" t="str">
        <f ca="1">IF($H9=リスト!$AA$4,"-",
   IF($C9="-","-",
     IF(BL$4&gt;$P9,"-",
       IF(BL$4=1,$E9,OFFSET(BL9,0,-2)-OFFSET(BL9,0,-1)
))))</f>
        <v>-</v>
      </c>
      <c r="BM9" s="57" t="str">
        <f>IF($H9=リスト!$AA$4,"-",
 IF($C9="-","-",
  IF(BL$4&gt;$P9,"-",
   CHOOSE(MATCH($H$3,リスト!$AE$3:$AE$5,0),
    ROUNDUP(
      BL9*IF(BL9*$I9&lt;=$L9,$J9,$I9)*
      IF($P9=1,
         $S9/12,
         IF(BL$4=1,
            $T9/12,
            IF(BL$4=$P9,
               $U9/12,
               1
      ))),0),
    ROUNDDOWN(
      BL9*IF(BL9*$I9&lt;=$L9,$J9,$I9)*
      IF($P9=1,
         $S9/12,
         IF(BL$4=1,
            $T9/12,
            IF(BL$4=$P9,
               $U9/12,
               1
      ))),0),
    ROUND(
      BL9*IF(BL9*$I9&lt;=$L9,$J9,$I9)*
      IF($P9=1,
         $S9/12,
         IF(BL$4=1,
            $T9/12,
            IF(BL$4=$P9,
               $U9/12,
               1
      ))),0)
))))</f>
        <v>-</v>
      </c>
      <c r="BN9" s="56" t="str">
        <f ca="1">IF($H9=リスト!$AA$4,"-",
   IF($C9="-","-",
     IF(BN$4&gt;$P9,"-",
       IF(BN$4=1,$E9,OFFSET(BN9,0,-2)-OFFSET(BN9,0,-1)
))))</f>
        <v>-</v>
      </c>
      <c r="BO9" s="57" t="str">
        <f>IF($H9=リスト!$AA$4,"-",
 IF($C9="-","-",
  IF(BN$4&gt;$P9,"-",
   CHOOSE(MATCH($H$3,リスト!$AE$3:$AE$5,0),
    ROUNDUP(
      BN9*IF(BN9*$I9&lt;=$L9,$J9,$I9)*
      IF($P9=1,
         $S9/12,
         IF(BN$4=1,
            $T9/12,
            IF(BN$4=$P9,
               $U9/12,
               1
      ))),0),
    ROUNDDOWN(
      BN9*IF(BN9*$I9&lt;=$L9,$J9,$I9)*
      IF($P9=1,
         $S9/12,
         IF(BN$4=1,
            $T9/12,
            IF(BN$4=$P9,
               $U9/12,
               1
      ))),0),
    ROUND(
      BN9*IF(BN9*$I9&lt;=$L9,$J9,$I9)*
      IF($P9=1,
         $S9/12,
         IF(BN$4=1,
            $T9/12,
            IF(BN$4=$P9,
               $U9/12,
               1
      ))),0)
))))</f>
        <v>-</v>
      </c>
      <c r="BP9" s="56" t="str">
        <f ca="1">IF($H9=リスト!$AA$4,"-",
   IF($C9="-","-",
     IF(BP$4&gt;$P9,"-",
       IF(BP$4=1,$E9,OFFSET(BP9,0,-2)-OFFSET(BP9,0,-1)
))))</f>
        <v>-</v>
      </c>
      <c r="BQ9" s="57" t="str">
        <f>IF($H9=リスト!$AA$4,"-",
 IF($C9="-","-",
  IF(BP$4&gt;$P9,"-",
   CHOOSE(MATCH($H$3,リスト!$AE$3:$AE$5,0),
    ROUNDUP(
      BP9*IF(BP9*$I9&lt;=$L9,$J9,$I9)*
      IF($P9=1,
         $S9/12,
         IF(BP$4=1,
            $T9/12,
            IF(BP$4=$P9,
               $U9/12,
               1
      ))),0),
    ROUNDDOWN(
      BP9*IF(BP9*$I9&lt;=$L9,$J9,$I9)*
      IF($P9=1,
         $S9/12,
         IF(BP$4=1,
            $T9/12,
            IF(BP$4=$P9,
               $U9/12,
               1
      ))),0),
    ROUND(
      BP9*IF(BP9*$I9&lt;=$L9,$J9,$I9)*
      IF($P9=1,
         $S9/12,
         IF(BP$4=1,
            $T9/12,
            IF(BP$4=$P9,
               $U9/12,
               1
      ))),0)
))))</f>
        <v>-</v>
      </c>
      <c r="BR9" s="56" t="str">
        <f ca="1">IF($H9=リスト!$AA$4,"-",
   IF($C9="-","-",
     IF(BR$4&gt;$P9,"-",
       IF(BR$4=1,$E9,OFFSET(BR9,0,-2)-OFFSET(BR9,0,-1)
))))</f>
        <v>-</v>
      </c>
      <c r="BS9" s="57" t="str">
        <f>IF($H9=リスト!$AA$4,"-",
 IF($C9="-","-",
  IF(BR$4&gt;$P9,"-",
   CHOOSE(MATCH($H$3,リスト!$AE$3:$AE$5,0),
    ROUNDUP(
      BR9*IF(BR9*$I9&lt;=$L9,$J9,$I9)*
      IF($P9=1,
         $S9/12,
         IF(BR$4=1,
            $T9/12,
            IF(BR$4=$P9,
               $U9/12,
               1
      ))),0),
    ROUNDDOWN(
      BR9*IF(BR9*$I9&lt;=$L9,$J9,$I9)*
      IF($P9=1,
         $S9/12,
         IF(BR$4=1,
            $T9/12,
            IF(BR$4=$P9,
               $U9/12,
               1
      ))),0),
    ROUND(
      BR9*IF(BR9*$I9&lt;=$L9,$J9,$I9)*
      IF($P9=1,
         $S9/12,
         IF(BR$4=1,
            $T9/12,
            IF(BR$4=$P9,
               $U9/12,
               1
      ))),0)
))))</f>
        <v>-</v>
      </c>
      <c r="BT9" s="56" t="str">
        <f ca="1">IF($H9=リスト!$AA$4,"-",
   IF($C9="-","-",
     IF(BT$4&gt;$P9,"-",
       IF(BT$4=1,$E9,OFFSET(BT9,0,-2)-OFFSET(BT9,0,-1)
))))</f>
        <v>-</v>
      </c>
      <c r="BU9" s="57" t="str">
        <f>IF($H9=リスト!$AA$4,"-",
 IF($C9="-","-",
  IF(BT$4&gt;$P9,"-",
   CHOOSE(MATCH($H$3,リスト!$AE$3:$AE$5,0),
    ROUNDUP(
      BT9*IF(BT9*$I9&lt;=$L9,$J9,$I9)*
      IF($P9=1,
         $S9/12,
         IF(BT$4=1,
            $T9/12,
            IF(BT$4=$P9,
               $U9/12,
               1
      ))),0),
    ROUNDDOWN(
      BT9*IF(BT9*$I9&lt;=$L9,$J9,$I9)*
      IF($P9=1,
         $S9/12,
         IF(BT$4=1,
            $T9/12,
            IF(BT$4=$P9,
               $U9/12,
               1
      ))),0),
    ROUND(
      BT9*IF(BT9*$I9&lt;=$L9,$J9,$I9)*
      IF($P9=1,
         $S9/12,
         IF(BT$4=1,
            $T9/12,
            IF(BT$4=$P9,
               $U9/12,
               1
      ))),0)
))))</f>
        <v>-</v>
      </c>
      <c r="BV9" s="56" t="str">
        <f ca="1">IF($H9=リスト!$AA$4,"-",
   IF($C9="-","-",
     IF(BV$4&gt;$P9,"-",
       IF(BV$4=1,$E9,OFFSET(BV9,0,-2)-OFFSET(BV9,0,-1)
))))</f>
        <v>-</v>
      </c>
      <c r="BW9" s="57" t="str">
        <f>IF($H9=リスト!$AA$4,"-",
 IF($C9="-","-",
  IF(BV$4&gt;$P9,"-",
   CHOOSE(MATCH($H$3,リスト!$AE$3:$AE$5,0),
    ROUNDUP(
      BV9*IF(BV9*$I9&lt;=$L9,$J9,$I9)*
      IF($P9=1,
         $S9/12,
         IF(BV$4=1,
            $T9/12,
            IF(BV$4=$P9,
               $U9/12,
               1
      ))),0),
    ROUNDDOWN(
      BV9*IF(BV9*$I9&lt;=$L9,$J9,$I9)*
      IF($P9=1,
         $S9/12,
         IF(BV$4=1,
            $T9/12,
            IF(BV$4=$P9,
               $U9/12,
               1
      ))),0),
    ROUND(
      BV9*IF(BV9*$I9&lt;=$L9,$J9,$I9)*
      IF($P9=1,
         $S9/12,
         IF(BV$4=1,
            $T9/12,
            IF(BV$4=$P9,
               $U9/12,
               1
      ))),0)
))))</f>
        <v>-</v>
      </c>
      <c r="BX9" s="56" t="str">
        <f ca="1">IF($H9=リスト!$AA$4,"-",
   IF($C9="-","-",
     IF(BX$4&gt;$P9,"-",
       IF(BX$4=1,$E9,OFFSET(BX9,0,-2)-OFFSET(BX9,0,-1)
))))</f>
        <v>-</v>
      </c>
      <c r="BY9" s="57" t="str">
        <f>IF($H9=リスト!$AA$4,"-",
 IF($C9="-","-",
  IF(BX$4&gt;$P9,"-",
   CHOOSE(MATCH($H$3,リスト!$AE$3:$AE$5,0),
    ROUNDUP(
      BX9*IF(BX9*$I9&lt;=$L9,$J9,$I9)*
      IF($P9=1,
         $S9/12,
         IF(BX$4=1,
            $T9/12,
            IF(BX$4=$P9,
               $U9/12,
               1
      ))),0),
    ROUNDDOWN(
      BX9*IF(BX9*$I9&lt;=$L9,$J9,$I9)*
      IF($P9=1,
         $S9/12,
         IF(BX$4=1,
            $T9/12,
            IF(BX$4=$P9,
               $U9/12,
               1
      ))),0),
    ROUND(
      BX9*IF(BX9*$I9&lt;=$L9,$J9,$I9)*
      IF($P9=1,
         $S9/12,
         IF(BX$4=1,
            $T9/12,
            IF(BX$4=$P9,
               $U9/12,
               1
      ))),0)
))))</f>
        <v>-</v>
      </c>
      <c r="BZ9" s="56" t="str">
        <f ca="1">IF($H9=リスト!$AA$4,"-",
   IF($C9="-","-",
     IF(BZ$4&gt;$P9,"-",
       IF(BZ$4=1,$E9,OFFSET(BZ9,0,-2)-OFFSET(BZ9,0,-1)
))))</f>
        <v>-</v>
      </c>
      <c r="CA9" s="57" t="str">
        <f>IF($H9=リスト!$AA$4,"-",
 IF($C9="-","-",
  IF(BZ$4&gt;$P9,"-",
   CHOOSE(MATCH($H$3,リスト!$AE$3:$AE$5,0),
    ROUNDUP(
      BZ9*IF(BZ9*$I9&lt;=$L9,$J9,$I9)*
      IF($P9=1,
         $S9/12,
         IF(BZ$4=1,
            $T9/12,
            IF(BZ$4=$P9,
               $U9/12,
               1
      ))),0),
    ROUNDDOWN(
      BZ9*IF(BZ9*$I9&lt;=$L9,$J9,$I9)*
      IF($P9=1,
         $S9/12,
         IF(BZ$4=1,
            $T9/12,
            IF(BZ$4=$P9,
               $U9/12,
               1
      ))),0),
    ROUND(
      BZ9*IF(BZ9*$I9&lt;=$L9,$J9,$I9)*
      IF($P9=1,
         $S9/12,
         IF(BZ$4=1,
            $T9/12,
            IF(BZ$4=$P9,
               $U9/12,
               1
      ))),0)
))))</f>
        <v>-</v>
      </c>
      <c r="CB9" s="56" t="str">
        <f ca="1">IF($H9=リスト!$AA$4,"-",
   IF($C9="-","-",
     IF(CB$4&gt;$P9,"-",
       IF(CB$4=1,$E9,OFFSET(CB9,0,-2)-OFFSET(CB9,0,-1)
))))</f>
        <v>-</v>
      </c>
      <c r="CC9" s="57" t="str">
        <f>IF($H9=リスト!$AA$4,"-",
 IF($C9="-","-",
  IF(CB$4&gt;$P9,"-",
   CHOOSE(MATCH($H$3,リスト!$AE$3:$AE$5,0),
    ROUNDUP(
      CB9*IF(CB9*$I9&lt;=$L9,$J9,$I9)*
      IF($P9=1,
         $S9/12,
         IF(CB$4=1,
            $T9/12,
            IF(CB$4=$P9,
               $U9/12,
               1
      ))),0),
    ROUNDDOWN(
      CB9*IF(CB9*$I9&lt;=$L9,$J9,$I9)*
      IF($P9=1,
         $S9/12,
         IF(CB$4=1,
            $T9/12,
            IF(CB$4=$P9,
               $U9/12,
               1
      ))),0),
    ROUND(
      CB9*IF(CB9*$I9&lt;=$L9,$J9,$I9)*
      IF($P9=1,
         $S9/12,
         IF(CB$4=1,
            $T9/12,
            IF(CB$4=$P9,
               $U9/12,
               1
      ))),0)
))))</f>
        <v>-</v>
      </c>
      <c r="CD9" s="56" t="str">
        <f ca="1">IF($H9=リスト!$AA$4,"-",
   IF($C9="-","-",
     IF(CD$4&gt;$P9,"-",
       IF(CD$4=1,$E9,OFFSET(CD9,0,-2)-OFFSET(CD9,0,-1)
))))</f>
        <v>-</v>
      </c>
      <c r="CE9" s="57" t="str">
        <f>IF($H9=リスト!$AA$4,"-",
 IF($C9="-","-",
  IF(CD$4&gt;$P9,"-",
   CHOOSE(MATCH($H$3,リスト!$AE$3:$AE$5,0),
    ROUNDUP(
      CD9*IF(CD9*$I9&lt;=$L9,$J9,$I9)*
      IF($P9=1,
         $S9/12,
         IF(CD$4=1,
            $T9/12,
            IF(CD$4=$P9,
               $U9/12,
               1
      ))),0),
    ROUNDDOWN(
      CD9*IF(CD9*$I9&lt;=$L9,$J9,$I9)*
      IF($P9=1,
         $S9/12,
         IF(CD$4=1,
            $T9/12,
            IF(CD$4=$P9,
               $U9/12,
               1
      ))),0),
    ROUND(
      CD9*IF(CD9*$I9&lt;=$L9,$J9,$I9)*
      IF($P9=1,
         $S9/12,
         IF(CD$4=1,
            $T9/12,
            IF(CD$4=$P9,
               $U9/12,
               1
      ))),0)
))))</f>
        <v>-</v>
      </c>
      <c r="CF9" s="56" t="str">
        <f ca="1">IF($H9=リスト!$AA$4,"-",
   IF($C9="-","-",
     IF(CF$4&gt;$P9,"-",
       IF(CF$4=1,$E9,OFFSET(CF9,0,-2)-OFFSET(CF9,0,-1)
))))</f>
        <v>-</v>
      </c>
      <c r="CG9" s="57" t="str">
        <f>IF($H9=リスト!$AA$4,"-",
 IF($C9="-","-",
  IF(CF$4&gt;$P9,"-",
   CHOOSE(MATCH($H$3,リスト!$AE$3:$AE$5,0),
    ROUNDUP(
      CF9*IF(CF9*$I9&lt;=$L9,$J9,$I9)*
      IF($P9=1,
         $S9/12,
         IF(CF$4=1,
            $T9/12,
            IF(CF$4=$P9,
               $U9/12,
               1
      ))),0),
    ROUNDDOWN(
      CF9*IF(CF9*$I9&lt;=$L9,$J9,$I9)*
      IF($P9=1,
         $S9/12,
         IF(CF$4=1,
            $T9/12,
            IF(CF$4=$P9,
               $U9/12,
               1
      ))),0),
    ROUND(
      CF9*IF(CF9*$I9&lt;=$L9,$J9,$I9)*
      IF($P9=1,
         $S9/12,
         IF(CF$4=1,
            $T9/12,
            IF(CF$4=$P9,
               $U9/12,
               1
      ))),0)
))))</f>
        <v>-</v>
      </c>
      <c r="CH9" s="56" t="str">
        <f ca="1">IF($H9=リスト!$AA$4,"-",
   IF($C9="-","-",
     IF(CH$4&gt;$P9,"-",
       IF(CH$4=1,$E9,OFFSET(CH9,0,-2)-OFFSET(CH9,0,-1)
))))</f>
        <v>-</v>
      </c>
      <c r="CI9" s="57" t="str">
        <f>IF($H9=リスト!$AA$4,"-",
 IF($C9="-","-",
  IF(CH$4&gt;$P9,"-",
   CHOOSE(MATCH($H$3,リスト!$AE$3:$AE$5,0),
    ROUNDUP(
      CH9*IF(CH9*$I9&lt;=$L9,$J9,$I9)*
      IF($P9=1,
         $S9/12,
         IF(CH$4=1,
            $T9/12,
            IF(CH$4=$P9,
               $U9/12,
               1
      ))),0),
    ROUNDDOWN(
      CH9*IF(CH9*$I9&lt;=$L9,$J9,$I9)*
      IF($P9=1,
         $S9/12,
         IF(CH$4=1,
            $T9/12,
            IF(CH$4=$P9,
               $U9/12,
               1
      ))),0),
    ROUND(
      CH9*IF(CH9*$I9&lt;=$L9,$J9,$I9)*
      IF($P9=1,
         $S9/12,
         IF(CH$4=1,
            $T9/12,
            IF(CH$4=$P9,
               $U9/12,
               1
      ))),0)
))))</f>
        <v>-</v>
      </c>
      <c r="CJ9" s="56" t="str">
        <f ca="1">IF($H9=リスト!$AA$4,"-",
   IF($C9="-","-",
     IF(CJ$4&gt;$P9,"-",
       IF(CJ$4=1,$E9,OFFSET(CJ9,0,-2)-OFFSET(CJ9,0,-1)
))))</f>
        <v>-</v>
      </c>
      <c r="CK9" s="57" t="str">
        <f>IF($H9=リスト!$AA$4,"-",
 IF($C9="-","-",
  IF(CJ$4&gt;$P9,"-",
   CHOOSE(MATCH($H$3,リスト!$AE$3:$AE$5,0),
    ROUNDUP(
      CJ9*IF(CJ9*$I9&lt;=$L9,$J9,$I9)*
      IF($P9=1,
         $S9/12,
         IF(CJ$4=1,
            $T9/12,
            IF(CJ$4=$P9,
               $U9/12,
               1
      ))),0),
    ROUNDDOWN(
      CJ9*IF(CJ9*$I9&lt;=$L9,$J9,$I9)*
      IF($P9=1,
         $S9/12,
         IF(CJ$4=1,
            $T9/12,
            IF(CJ$4=$P9,
               $U9/12,
               1
      ))),0),
    ROUND(
      CJ9*IF(CJ9*$I9&lt;=$L9,$J9,$I9)*
      IF($P9=1,
         $S9/12,
         IF(CJ$4=1,
            $T9/12,
            IF(CJ$4=$P9,
               $U9/12,
               1
      ))),0)
))))</f>
        <v>-</v>
      </c>
      <c r="CL9" s="56" t="str">
        <f ca="1">IF($H9=リスト!$AA$4,"-",
   IF($C9="-","-",
     IF(CL$4&gt;$P9,"-",
       IF(CL$4=1,$E9,OFFSET(CL9,0,-2)-OFFSET(CL9,0,-1)
))))</f>
        <v>-</v>
      </c>
      <c r="CM9" s="57" t="str">
        <f>IF($H9=リスト!$AA$4,"-",
 IF($C9="-","-",
  IF(CL$4&gt;$P9,"-",
   CHOOSE(MATCH($H$3,リスト!$AE$3:$AE$5,0),
    ROUNDUP(
      CL9*IF(CL9*$I9&lt;=$L9,$J9,$I9)*
      IF($P9=1,
         $S9/12,
         IF(CL$4=1,
            $T9/12,
            IF(CL$4=$P9,
               $U9/12,
               1
      ))),0),
    ROUNDDOWN(
      CL9*IF(CL9*$I9&lt;=$L9,$J9,$I9)*
      IF($P9=1,
         $S9/12,
         IF(CL$4=1,
            $T9/12,
            IF(CL$4=$P9,
               $U9/12,
               1
      ))),0),
    ROUND(
      CL9*IF(CL9*$I9&lt;=$L9,$J9,$I9)*
      IF($P9=1,
         $S9/12,
         IF(CL$4=1,
            $T9/12,
            IF(CL$4=$P9,
               $U9/12,
               1
      ))),0)
))))</f>
        <v>-</v>
      </c>
      <c r="CN9" s="56" t="str">
        <f ca="1">IF($H9=リスト!$AA$4,"-",
   IF($C9="-","-",
     IF(CN$4&gt;$P9,"-",
       IF(CN$4=1,$E9,OFFSET(CN9,0,-2)-OFFSET(CN9,0,-1)
))))</f>
        <v>-</v>
      </c>
      <c r="CO9" s="57" t="str">
        <f>IF($H9=リスト!$AA$4,"-",
 IF($C9="-","-",
  IF(CN$4&gt;$P9,"-",
   CHOOSE(MATCH($H$3,リスト!$AE$3:$AE$5,0),
    ROUNDUP(
      CN9*IF(CN9*$I9&lt;=$L9,$J9,$I9)*
      IF($P9=1,
         $S9/12,
         IF(CN$4=1,
            $T9/12,
            IF(CN$4=$P9,
               $U9/12,
               1
      ))),0),
    ROUNDDOWN(
      CN9*IF(CN9*$I9&lt;=$L9,$J9,$I9)*
      IF($P9=1,
         $S9/12,
         IF(CN$4=1,
            $T9/12,
            IF(CN$4=$P9,
               $U9/12,
               1
      ))),0),
    ROUND(
      CN9*IF(CN9*$I9&lt;=$L9,$J9,$I9)*
      IF($P9=1,
         $S9/12,
         IF(CN$4=1,
            $T9/12,
            IF(CN$4=$P9,
               $U9/12,
               1
      ))),0)
))))</f>
        <v>-</v>
      </c>
      <c r="CP9" s="56" t="str">
        <f ca="1">IF($H9=リスト!$AA$4,"-",
   IF($C9="-","-",
     IF(CP$4&gt;$P9,"-",
       IF(CP$4=1,$E9,OFFSET(CP9,0,-2)-OFFSET(CP9,0,-1)
))))</f>
        <v>-</v>
      </c>
      <c r="CQ9" s="57" t="str">
        <f>IF($H9=リスト!$AA$4,"-",
 IF($C9="-","-",
  IF(CP$4&gt;$P9,"-",
   CHOOSE(MATCH($H$3,リスト!$AE$3:$AE$5,0),
    ROUNDUP(
      CP9*IF(CP9*$I9&lt;=$L9,$J9,$I9)*
      IF($P9=1,
         $S9/12,
         IF(CP$4=1,
            $T9/12,
            IF(CP$4=$P9,
               $U9/12,
               1
      ))),0),
    ROUNDDOWN(
      CP9*IF(CP9*$I9&lt;=$L9,$J9,$I9)*
      IF($P9=1,
         $S9/12,
         IF(CP$4=1,
            $T9/12,
            IF(CP$4=$P9,
               $U9/12,
               1
      ))),0),
    ROUND(
      CP9*IF(CP9*$I9&lt;=$L9,$J9,$I9)*
      IF($P9=1,
         $S9/12,
         IF(CP$4=1,
            $T9/12,
            IF(CP$4=$P9,
               $U9/12,
               1
      ))),0)
))))</f>
        <v>-</v>
      </c>
      <c r="CR9" s="56" t="str">
        <f ca="1">IF($H9=リスト!$AA$4,"-",
   IF($C9="-","-",
     IF(CR$4&gt;$P9,"-",
       IF(CR$4=1,$E9,OFFSET(CR9,0,-2)-OFFSET(CR9,0,-1)
))))</f>
        <v>-</v>
      </c>
      <c r="CS9" s="57" t="str">
        <f>IF($H9=リスト!$AA$4,"-",
 IF($C9="-","-",
  IF(CR$4&gt;$P9,"-",
   CHOOSE(MATCH($H$3,リスト!$AE$3:$AE$5,0),
    ROUNDUP(
      CR9*IF(CR9*$I9&lt;=$L9,$J9,$I9)*
      IF($P9=1,
         $S9/12,
         IF(CR$4=1,
            $T9/12,
            IF(CR$4=$P9,
               $U9/12,
               1
      ))),0),
    ROUNDDOWN(
      CR9*IF(CR9*$I9&lt;=$L9,$J9,$I9)*
      IF($P9=1,
         $S9/12,
         IF(CR$4=1,
            $T9/12,
            IF(CR$4=$P9,
               $U9/12,
               1
      ))),0),
    ROUND(
      CR9*IF(CR9*$I9&lt;=$L9,$J9,$I9)*
      IF($P9=1,
         $S9/12,
         IF(CR$4=1,
            $T9/12,
            IF(CR$4=$P9,
               $U9/12,
               1
      ))),0)
))))</f>
        <v>-</v>
      </c>
      <c r="CT9" s="56" t="str">
        <f ca="1">IF($H9=リスト!$AA$4,"-",
   IF($C9="-","-",
     IF(CT$4&gt;$P9,"-",
       IF(CT$4=1,$E9,OFFSET(CT9,0,-2)-OFFSET(CT9,0,-1)
))))</f>
        <v>-</v>
      </c>
      <c r="CU9" s="57" t="str">
        <f>IF($H9=リスト!$AA$4,"-",
 IF($C9="-","-",
  IF(CT$4&gt;$P9,"-",
   CHOOSE(MATCH($H$3,リスト!$AE$3:$AE$5,0),
    ROUNDUP(
      CT9*IF(CT9*$I9&lt;=$L9,$J9,$I9)*
      IF($P9=1,
         $S9/12,
         IF(CT$4=1,
            $T9/12,
            IF(CT$4=$P9,
               $U9/12,
               1
      ))),0),
    ROUNDDOWN(
      CT9*IF(CT9*$I9&lt;=$L9,$J9,$I9)*
      IF($P9=1,
         $S9/12,
         IF(CT$4=1,
            $T9/12,
            IF(CT$4=$P9,
               $U9/12,
               1
      ))),0),
    ROUND(
      CT9*IF(CT9*$I9&lt;=$L9,$J9,$I9)*
      IF($P9=1,
         $S9/12,
         IF(CT$4=1,
            $T9/12,
            IF(CT$4=$P9,
               $U9/12,
               1
      ))),0)
))))</f>
        <v>-</v>
      </c>
      <c r="CV9" s="56" t="str">
        <f ca="1">IF($H9=リスト!$AA$4,"-",
   IF($C9="-","-",
     IF(CV$4&gt;$P9,"-",
       IF(CV$4=1,$E9,OFFSET(CV9,0,-2)-OFFSET(CV9,0,-1)
))))</f>
        <v>-</v>
      </c>
      <c r="CW9" s="57" t="str">
        <f>IF($H9=リスト!$AA$4,"-",
 IF($C9="-","-",
  IF(CV$4&gt;$P9,"-",
   CHOOSE(MATCH($H$3,リスト!$AE$3:$AE$5,0),
    ROUNDUP(
      CV9*IF(CV9*$I9&lt;=$L9,$J9,$I9)*
      IF($P9=1,
         $S9/12,
         IF(CV$4=1,
            $T9/12,
            IF(CV$4=$P9,
               $U9/12,
               1
      ))),0),
    ROUNDDOWN(
      CV9*IF(CV9*$I9&lt;=$L9,$J9,$I9)*
      IF($P9=1,
         $S9/12,
         IF(CV$4=1,
            $T9/12,
            IF(CV$4=$P9,
               $U9/12,
               1
      ))),0),
    ROUND(
      CV9*IF(CV9*$I9&lt;=$L9,$J9,$I9)*
      IF($P9=1,
         $S9/12,
         IF(CV$4=1,
            $T9/12,
            IF(CV$4=$P9,
               $U9/12,
               1
      ))),0)
))))</f>
        <v>-</v>
      </c>
      <c r="CX9" s="56" t="str">
        <f ca="1">IF($H9=リスト!$AA$4,"-",
   IF($C9="-","-",
     IF(CX$4&gt;$P9,"-",
       IF(CX$4=1,$E9,OFFSET(CX9,0,-2)-OFFSET(CX9,0,-1)
))))</f>
        <v>-</v>
      </c>
      <c r="CY9" s="57" t="str">
        <f>IF($H9=リスト!$AA$4,"-",
 IF($C9="-","-",
  IF(CX$4&gt;$P9,"-",
   CHOOSE(MATCH($H$3,リスト!$AE$3:$AE$5,0),
    ROUNDUP(
      CX9*IF(CX9*$I9&lt;=$L9,$J9,$I9)*
      IF($P9=1,
         $S9/12,
         IF(CX$4=1,
            $T9/12,
            IF(CX$4=$P9,
               $U9/12,
               1
      ))),0),
    ROUNDDOWN(
      CX9*IF(CX9*$I9&lt;=$L9,$J9,$I9)*
      IF($P9=1,
         $S9/12,
         IF(CX$4=1,
            $T9/12,
            IF(CX$4=$P9,
               $U9/12,
               1
      ))),0),
    ROUND(
      CX9*IF(CX9*$I9&lt;=$L9,$J9,$I9)*
      IF($P9=1,
         $S9/12,
         IF(CX$4=1,
            $T9/12,
            IF(CX$4=$P9,
               $U9/12,
               1
      ))),0)
))))</f>
        <v>-</v>
      </c>
      <c r="CZ9" s="56" t="str">
        <f ca="1">IF($H9=リスト!$AA$4,"-",
   IF($C9="-","-",
     IF(CZ$4&gt;$P9,"-",
       IF(CZ$4=1,$E9,OFFSET(CZ9,0,-2)-OFFSET(CZ9,0,-1)
))))</f>
        <v>-</v>
      </c>
      <c r="DA9" s="57" t="str">
        <f>IF($H9=リスト!$AA$4,"-",
 IF($C9="-","-",
  IF(CZ$4&gt;$P9,"-",
   CHOOSE(MATCH($H$3,リスト!$AE$3:$AE$5,0),
    ROUNDUP(
      CZ9*IF(CZ9*$I9&lt;=$L9,$J9,$I9)*
      IF($P9=1,
         $S9/12,
         IF(CZ$4=1,
            $T9/12,
            IF(CZ$4=$P9,
               $U9/12,
               1
      ))),0),
    ROUNDDOWN(
      CZ9*IF(CZ9*$I9&lt;=$L9,$J9,$I9)*
      IF($P9=1,
         $S9/12,
         IF(CZ$4=1,
            $T9/12,
            IF(CZ$4=$P9,
               $U9/12,
               1
      ))),0),
    ROUND(
      CZ9*IF(CZ9*$I9&lt;=$L9,$J9,$I9)*
      IF($P9=1,
         $S9/12,
         IF(CZ$4=1,
            $T9/12,
            IF(CZ$4=$P9,
               $U9/12,
               1
      ))),0)
))))</f>
        <v>-</v>
      </c>
      <c r="DB9" s="56" t="str">
        <f ca="1">IF($H9=リスト!$AA$4,"-",
   IF($C9="-","-",
     IF(DB$4&gt;$P9,"-",
       IF(DB$4=1,$E9,OFFSET(DB9,0,-2)-OFFSET(DB9,0,-1)
))))</f>
        <v>-</v>
      </c>
      <c r="DC9" s="57" t="str">
        <f>IF($H9=リスト!$AA$4,"-",
 IF($C9="-","-",
  IF(DB$4&gt;$P9,"-",
   CHOOSE(MATCH($H$3,リスト!$AE$3:$AE$5,0),
    ROUNDUP(
      DB9*IF(DB9*$I9&lt;=$L9,$J9,$I9)*
      IF($P9=1,
         $S9/12,
         IF(DB$4=1,
            $T9/12,
            IF(DB$4=$P9,
               $U9/12,
               1
      ))),0),
    ROUNDDOWN(
      DB9*IF(DB9*$I9&lt;=$L9,$J9,$I9)*
      IF($P9=1,
         $S9/12,
         IF(DB$4=1,
            $T9/12,
            IF(DB$4=$P9,
               $U9/12,
               1
      ))),0),
    ROUND(
      DB9*IF(DB9*$I9&lt;=$L9,$J9,$I9)*
      IF($P9=1,
         $S9/12,
         IF(DB$4=1,
            $T9/12,
            IF(DB$4=$P9,
               $U9/12,
               1
      ))),0)
))))</f>
        <v>-</v>
      </c>
      <c r="DD9" s="56" t="str">
        <f ca="1">IF($H9=リスト!$AA$4,"-",
   IF($C9="-","-",
     IF(DD$4&gt;$P9,"-",
       IF(DD$4=1,$E9,OFFSET(DD9,0,-2)-OFFSET(DD9,0,-1)
))))</f>
        <v>-</v>
      </c>
      <c r="DE9" s="57" t="str">
        <f>IF($H9=リスト!$AA$4,"-",
 IF($C9="-","-",
  IF(DD$4&gt;$P9,"-",
   CHOOSE(MATCH($H$3,リスト!$AE$3:$AE$5,0),
    ROUNDUP(
      DD9*IF(DD9*$I9&lt;=$L9,$J9,$I9)*
      IF($P9=1,
         $S9/12,
         IF(DD$4=1,
            $T9/12,
            IF(DD$4=$P9,
               $U9/12,
               1
      ))),0),
    ROUNDDOWN(
      DD9*IF(DD9*$I9&lt;=$L9,$J9,$I9)*
      IF($P9=1,
         $S9/12,
         IF(DD$4=1,
            $T9/12,
            IF(DD$4=$P9,
               $U9/12,
               1
      ))),0),
    ROUND(
      DD9*IF(DD9*$I9&lt;=$L9,$J9,$I9)*
      IF($P9=1,
         $S9/12,
         IF(DD$4=1,
            $T9/12,
            IF(DD$4=$P9,
               $U9/12,
               1
      ))),0)
))))</f>
        <v>-</v>
      </c>
      <c r="DF9" s="56" t="str">
        <f ca="1">IF($H9=リスト!$AA$4,"-",
   IF($C9="-","-",
     IF(DF$4&gt;$P9,"-",
       IF(DF$4=1,$E9,OFFSET(DF9,0,-2)-OFFSET(DF9,0,-1)
))))</f>
        <v>-</v>
      </c>
      <c r="DG9" s="57" t="str">
        <f>IF($H9=リスト!$AA$4,"-",
 IF($C9="-","-",
  IF(DF$4&gt;$P9,"-",
   CHOOSE(MATCH($H$3,リスト!$AE$3:$AE$5,0),
    ROUNDUP(
      DF9*IF(DF9*$I9&lt;=$L9,$J9,$I9)*
      IF($P9=1,
         $S9/12,
         IF(DF$4=1,
            $T9/12,
            IF(DF$4=$P9,
               $U9/12,
               1
      ))),0),
    ROUNDDOWN(
      DF9*IF(DF9*$I9&lt;=$L9,$J9,$I9)*
      IF($P9=1,
         $S9/12,
         IF(DF$4=1,
            $T9/12,
            IF(DF$4=$P9,
               $U9/12,
               1
      ))),0),
    ROUND(
      DF9*IF(DF9*$I9&lt;=$L9,$J9,$I9)*
      IF($P9=1,
         $S9/12,
         IF(DF$4=1,
            $T9/12,
            IF(DF$4=$P9,
               $U9/12,
               1
      ))),0)
))))</f>
        <v>-</v>
      </c>
      <c r="DH9" s="56" t="str">
        <f ca="1">IF($H9=リスト!$AA$4,"-",
   IF($C9="-","-",
     IF(DH$4&gt;$P9,"-",
       IF(DH$4=1,$E9,OFFSET(DH9,0,-2)-OFFSET(DH9,0,-1)
))))</f>
        <v>-</v>
      </c>
      <c r="DI9" s="57" t="str">
        <f>IF($H9=リスト!$AA$4,"-",
 IF($C9="-","-",
  IF(DH$4&gt;$P9,"-",
   CHOOSE(MATCH($H$3,リスト!$AE$3:$AE$5,0),
    ROUNDUP(
      DH9*IF(DH9*$I9&lt;=$L9,$J9,$I9)*
      IF($P9=1,
         $S9/12,
         IF(DH$4=1,
            $T9/12,
            IF(DH$4=$P9,
               $U9/12,
               1
      ))),0),
    ROUNDDOWN(
      DH9*IF(DH9*$I9&lt;=$L9,$J9,$I9)*
      IF($P9=1,
         $S9/12,
         IF(DH$4=1,
            $T9/12,
            IF(DH$4=$P9,
               $U9/12,
               1
      ))),0),
    ROUND(
      DH9*IF(DH9*$I9&lt;=$L9,$J9,$I9)*
      IF($P9=1,
         $S9/12,
         IF(DH$4=1,
            $T9/12,
            IF(DH$4=$P9,
               $U9/12,
               1
      ))),0)
))))</f>
        <v>-</v>
      </c>
      <c r="DJ9" s="56" t="str">
        <f ca="1">IF($H9=リスト!$AA$4,"-",
   IF($C9="-","-",
     IF(DJ$4&gt;$P9,"-",
       IF(DJ$4=1,$E9,OFFSET(DJ9,0,-2)-OFFSET(DJ9,0,-1)
))))</f>
        <v>-</v>
      </c>
      <c r="DK9" s="57" t="str">
        <f>IF($H9=リスト!$AA$4,"-",
 IF($C9="-","-",
  IF(DJ$4&gt;$P9,"-",
   CHOOSE(MATCH($H$3,リスト!$AE$3:$AE$5,0),
    ROUNDUP(
      DJ9*IF(DJ9*$I9&lt;=$L9,$J9,$I9)*
      IF($P9=1,
         $S9/12,
         IF(DJ$4=1,
            $T9/12,
            IF(DJ$4=$P9,
               $U9/12,
               1
      ))),0),
    ROUNDDOWN(
      DJ9*IF(DJ9*$I9&lt;=$L9,$J9,$I9)*
      IF($P9=1,
         $S9/12,
         IF(DJ$4=1,
            $T9/12,
            IF(DJ$4=$P9,
               $U9/12,
               1
      ))),0),
    ROUND(
      DJ9*IF(DJ9*$I9&lt;=$L9,$J9,$I9)*
      IF($P9=1,
         $S9/12,
         IF(DJ$4=1,
            $T9/12,
            IF(DJ$4=$P9,
               $U9/12,
               1
      ))),0)
))))</f>
        <v>-</v>
      </c>
      <c r="DL9" s="56" t="str">
        <f ca="1">IF($H9=リスト!$AA$4,"-",
   IF($C9="-","-",
     IF(DL$4&gt;$P9,"-",
       IF(DL$4=1,$E9,OFFSET(DL9,0,-2)-OFFSET(DL9,0,-1)
))))</f>
        <v>-</v>
      </c>
      <c r="DM9" s="57" t="str">
        <f>IF($H9=リスト!$AA$4,"-",
 IF($C9="-","-",
  IF(DL$4&gt;$P9,"-",
   CHOOSE(MATCH($H$3,リスト!$AE$3:$AE$5,0),
    ROUNDUP(
      DL9*IF(DL9*$I9&lt;=$L9,$J9,$I9)*
      IF($P9=1,
         $S9/12,
         IF(DL$4=1,
            $T9/12,
            IF(DL$4=$P9,
               $U9/12,
               1
      ))),0),
    ROUNDDOWN(
      DL9*IF(DL9*$I9&lt;=$L9,$J9,$I9)*
      IF($P9=1,
         $S9/12,
         IF(DL$4=1,
            $T9/12,
            IF(DL$4=$P9,
               $U9/12,
               1
      ))),0),
    ROUND(
      DL9*IF(DL9*$I9&lt;=$L9,$J9,$I9)*
      IF($P9=1,
         $S9/12,
         IF(DL$4=1,
            $T9/12,
            IF(DL$4=$P9,
               $U9/12,
               1
      ))),0)
))))</f>
        <v>-</v>
      </c>
      <c r="DN9" s="56" t="str">
        <f ca="1">IF($H9=リスト!$AA$4,"-",
   IF($C9="-","-",
     IF(DN$4&gt;$P9,"-",
       IF(DN$4=1,$E9,OFFSET(DN9,0,-2)-OFFSET(DN9,0,-1)
))))</f>
        <v>-</v>
      </c>
      <c r="DO9" s="57" t="str">
        <f>IF($H9=リスト!$AA$4,"-",
 IF($C9="-","-",
  IF(DN$4&gt;$P9,"-",
   CHOOSE(MATCH($H$3,リスト!$AE$3:$AE$5,0),
    ROUNDUP(
      DN9*IF(DN9*$I9&lt;=$L9,$J9,$I9)*
      IF($P9=1,
         $S9/12,
         IF(DN$4=1,
            $T9/12,
            IF(DN$4=$P9,
               $U9/12,
               1
      ))),0),
    ROUNDDOWN(
      DN9*IF(DN9*$I9&lt;=$L9,$J9,$I9)*
      IF($P9=1,
         $S9/12,
         IF(DN$4=1,
            $T9/12,
            IF(DN$4=$P9,
               $U9/12,
               1
      ))),0),
    ROUND(
      DN9*IF(DN9*$I9&lt;=$L9,$J9,$I9)*
      IF($P9=1,
         $S9/12,
         IF(DN$4=1,
            $T9/12,
            IF(DN$4=$P9,
               $U9/12,
               1
      ))),0)
))))</f>
        <v>-</v>
      </c>
      <c r="DP9" s="56" t="str">
        <f ca="1">IF($H9=リスト!$AA$4,"-",
   IF($C9="-","-",
     IF(DP$4&gt;$P9,"-",
       IF(DP$4=1,$E9,OFFSET(DP9,0,-2)-OFFSET(DP9,0,-1)
))))</f>
        <v>-</v>
      </c>
      <c r="DQ9" s="57" t="str">
        <f>IF($H9=リスト!$AA$4,"-",
 IF($C9="-","-",
  IF(DP$4&gt;$P9,"-",
   CHOOSE(MATCH($H$3,リスト!$AE$3:$AE$5,0),
    ROUNDUP(
      DP9*IF(DP9*$I9&lt;=$L9,$J9,$I9)*
      IF($P9=1,
         $S9/12,
         IF(DP$4=1,
            $T9/12,
            IF(DP$4=$P9,
               $U9/12,
               1
      ))),0),
    ROUNDDOWN(
      DP9*IF(DP9*$I9&lt;=$L9,$J9,$I9)*
      IF($P9=1,
         $S9/12,
         IF(DP$4=1,
            $T9/12,
            IF(DP$4=$P9,
               $U9/12,
               1
      ))),0),
    ROUND(
      DP9*IF(DP9*$I9&lt;=$L9,$J9,$I9)*
      IF($P9=1,
         $S9/12,
         IF(DP$4=1,
            $T9/12,
            IF(DP$4=$P9,
               $U9/12,
               1
      ))),0)
))))</f>
        <v>-</v>
      </c>
      <c r="DR9" s="56" t="str">
        <f ca="1">IF($H9=リスト!$AA$4,"-",
   IF($C9="-","-",
     IF(DR$4&gt;$P9,"-",
       IF(DR$4=1,$E9,OFFSET(DR9,0,-2)-OFFSET(DR9,0,-1)
))))</f>
        <v>-</v>
      </c>
      <c r="DS9" s="57" t="str">
        <f>IF($H9=リスト!$AA$4,"-",
 IF($C9="-","-",
  IF(DR$4&gt;$P9,"-",
   CHOOSE(MATCH($H$3,リスト!$AE$3:$AE$5,0),
    ROUNDUP(
      DR9*IF(DR9*$I9&lt;=$L9,$J9,$I9)*
      IF($P9=1,
         ($G9-$F9+1)/$Q9,
         IF(DR$4=1,
            ($M9-$F9+1)/$Q9,
            IF(DR$4=$P9,
               ($G9-$O9+1)/$R9,
               1
      ))),0),
    ROUNDDOWN(
      DR9*IF(DR9*$I9&lt;=$L9,$J9,$I9)*
      IF($P9=1,
         ($G9-$F9+1)/$Q9,
         IF(DR$4=1,
            ($M9-$F9+1)/$Q9,
            IF(DR$4=$P9,
               ($G9-$O9+1)/$R9,
               1
      ))),0),
    ROUND(
      DR9*IF(DR9*$I9&lt;=$L9,$J9,$I9)*
      IF($P9=1,
         ($G9-$F9+1)/$Q9,
         IF(DR$4=1,
            ($M9-$F9+1)/$Q9,
            IF(DR$4=$P9,
               ($G9-$O9+1)/$R9,
               1
      ))),0)
))))</f>
        <v>-</v>
      </c>
      <c r="DT9" s="56" t="str" cm="1">
        <f t="array" ref="DT9">IF($H9&lt;&gt;リスト!$AA$3,"-",$E9-SUMPRODUCT(IFERROR($Y9:$DS9*1,0), --(MOD(COLUMN($Y9:$DS9)-COLUMN($Y9),2)=0)))</f>
        <v>-</v>
      </c>
      <c r="DU9" s="56" t="str">
        <f>IF($H9&lt;&gt;リスト!$AA$4,"-",
    IF($H$3=リスト!$AE$3,$E9-ROUNDUP($E9*I9*$W9/12,0),
    IF($H$3=リスト!$AE$4,$E9-ROUNDDOWN($E9*I9*$W9/12,0),
    IF($H$3=リスト!$AE$5,$E9-ROUND($E9*I9*$W9/12,0),
    "-"))))</f>
        <v>-</v>
      </c>
    </row>
    <row r="10" spans="2:125">
      <c r="B10" s="54">
        <v>5</v>
      </c>
      <c r="C10" s="55" t="str">
        <f>IF('財産処分報告(災害)用'!$C10="","-",'財産処分報告(災害)用'!$C10)</f>
        <v>-</v>
      </c>
      <c r="D10" s="55" t="str">
        <f>'財産処分報告(災害)用'!$E10</f>
        <v>-</v>
      </c>
      <c r="E10" s="56" t="str">
        <f>IF('財産処分報告(災害)用'!$J10="","-",'財産処分報告(災害)用'!$J10)</f>
        <v>-</v>
      </c>
      <c r="F10" s="101" t="str">
        <f>IF('財産処分報告(災害)用'!$K10="","-",'財産処分報告(災害)用'!$K10)</f>
        <v>-</v>
      </c>
      <c r="G10" s="101" t="str">
        <f>IF('財産処分報告(災害)用'!$L10="","-",'財産処分報告(災害)用'!$L10)</f>
        <v>-</v>
      </c>
      <c r="H10" s="55" t="str">
        <f>IF('財産処分報告(災害)用'!$M10="","-",'財産処分報告(災害)用'!$M10)</f>
        <v>-</v>
      </c>
      <c r="I10" s="55" t="str">
        <f>IF(OR($D10="-",$H10="-"),"-",INDEX(リスト!$AG$2:$AI$101,MATCH($D10,リスト!$AG$2:$AG$101,0),MATCH($H10,リスト!$AG$2:$AI$2,0)))</f>
        <v>-</v>
      </c>
      <c r="J10" s="55" t="str">
        <f>IF(OR($D10="-",$H10="-"),"-",IF($H10=リスト!$AA$4,"-",INDEX(リスト!$AG$2:$AK$101,MATCH($D10,リスト!$AG$2:$AG$101,0),4)))</f>
        <v>-</v>
      </c>
      <c r="K10" s="55" t="str">
        <f>IF(OR($D10="-",$H10="-"),"-",IF($H10=リスト!$AA$4,"-",INDEX(リスト!$AG$2:$AK$101,MATCH($D10,リスト!$AG$2:$AG$101,0),5)))</f>
        <v>-</v>
      </c>
      <c r="L10" s="55" t="str">
        <f t="shared" si="0"/>
        <v>-</v>
      </c>
      <c r="M10" s="101" t="str">
        <f t="shared" si="1"/>
        <v>-</v>
      </c>
      <c r="N10" s="101" t="str">
        <f t="shared" si="2"/>
        <v>-</v>
      </c>
      <c r="O10" s="101" t="str">
        <f t="shared" si="3"/>
        <v>-</v>
      </c>
      <c r="P10" s="102" t="str">
        <f t="shared" si="4"/>
        <v>-</v>
      </c>
      <c r="Q10" s="115" t="str">
        <f t="shared" si="5"/>
        <v>-</v>
      </c>
      <c r="R10" s="116" t="str">
        <f t="shared" si="6"/>
        <v>-</v>
      </c>
      <c r="S10" s="102" t="str">
        <f t="shared" si="7"/>
        <v>-</v>
      </c>
      <c r="T10" s="102" t="str">
        <f t="shared" si="8"/>
        <v>-</v>
      </c>
      <c r="U10" s="102" t="str">
        <f t="shared" si="9"/>
        <v>-</v>
      </c>
      <c r="V10" s="102" t="str">
        <f t="shared" si="10"/>
        <v>-</v>
      </c>
      <c r="W10" s="55" t="str">
        <f t="shared" si="11"/>
        <v>-</v>
      </c>
      <c r="X10" s="56" t="str">
        <f ca="1">IF($H10=リスト!$AA$4,"-",
   IF($C10="-","-",
     IF(X$4&gt;$P10,"-",
       IF(X$4=1,$E10,OFFSET(X10,0,-2)-OFFSET(X10,0,-1)
))))</f>
        <v>-</v>
      </c>
      <c r="Y10" s="57" t="str">
        <f>IF($H10=リスト!$AA$4,"-",
 IF($C10="-","-",
  IF(X$4&gt;$P10,"-",
   CHOOSE(MATCH($H$3,リスト!$AE$3:$AE$5,0),
    ROUNDUP(
      X10*IF(X10*$I10&lt;=$L10,$J10,$I10)*
      IF($P10=1,
         $S10/12,
         IF(X$4=1,
            $T10/12,
            IF(X$4=$P10,
               $U10/12,
               1
      ))),0),
    ROUNDDOWN(
      X10*IF(X10*$I10&lt;=$L10,$J10,$I10)*
      IF($P10=1,
         $S10/12,
         IF(X$4=1,
            $T10/12,
            IF(X$4=$P10,
               $U10/12,
               1
      ))),0),
    ROUND(
      X10*IF(X10*$I10&lt;=$L10,$J10,$I10)*
      IF($P10=1,
         $S10/12,
         IF(X$4=1,
            $T10/12,
            IF(X$4=$P10,
               $U10/12,
               1
      ))),0)
))))</f>
        <v>-</v>
      </c>
      <c r="Z10" s="56" t="str">
        <f ca="1">IF($H10=リスト!$AA$4,"-",
   IF($C10="-","-",
     IF(Z$4&gt;$P10,"-",
       IF(Z$4=1,$E10,OFFSET(Z10,0,-2)-OFFSET(Z10,0,-1)
))))</f>
        <v>-</v>
      </c>
      <c r="AA10" s="57" t="str">
        <f>IF($H10=リスト!$AA$4,"-",
 IF($C10="-","-",
  IF(Z$4&gt;$P10,"-",
   CHOOSE(MATCH($H$3,リスト!$AE$3:$AE$5,0),
    ROUNDUP(
      Z10*IF(Z10*$I10&lt;=$L10,$J10,$I10)*
      IF($P10=1,
         $S10/12,
         IF(Z$4=1,
            $T10/12,
            IF(Z$4=$P10,
               $U10/12,
               1
      ))),0),
    ROUNDDOWN(
      Z10*IF(Z10*$I10&lt;=$L10,$J10,$I10)*
      IF($P10=1,
         $S10/12,
         IF(Z$4=1,
            $T10/12,
            IF(Z$4=$P10,
               $U10/12,
               1
      ))),0),
    ROUND(
      Z10*IF(Z10*$I10&lt;=$L10,$J10,$I10)*
      IF($P10=1,
         $S10/12,
         IF(Z$4=1,
            $T10/12,
            IF(Z$4=$P10,
               $U10/12,
               1
      ))),0)
))))</f>
        <v>-</v>
      </c>
      <c r="AB10" s="56" t="str">
        <f ca="1">IF($H10=リスト!$AA$4,"-",
   IF($C10="-","-",
     IF(AB$4&gt;$P10,"-",
       IF(AB$4=1,$E10,OFFSET(AB10,0,-2)-OFFSET(AB10,0,-1)
))))</f>
        <v>-</v>
      </c>
      <c r="AC10" s="57" t="str">
        <f>IF($H10=リスト!$AA$4,"-",
 IF($C10="-","-",
  IF(AB$4&gt;$P10,"-",
   CHOOSE(MATCH($H$3,リスト!$AE$3:$AE$5,0),
    ROUNDUP(
      AB10*IF(AB10*$I10&lt;=$L10,$J10,$I10)*
      IF($P10=1,
         $S10/12,
         IF(AB$4=1,
            $T10/12,
            IF(AB$4=$P10,
               $U10/12,
               1
      ))),0),
    ROUNDDOWN(
      AB10*IF(AB10*$I10&lt;=$L10,$J10,$I10)*
      IF($P10=1,
         $S10/12,
         IF(AB$4=1,
            $T10/12,
            IF(AB$4=$P10,
               $U10/12,
               1
      ))),0),
    ROUND(
      AB10*IF(AB10*$I10&lt;=$L10,$J10,$I10)*
      IF($P10=1,
         $S10/12,
         IF(AB$4=1,
            $T10/12,
            IF(AB$4=$P10,
               $U10/12,
               1
      ))),0)
))))</f>
        <v>-</v>
      </c>
      <c r="AD10" s="56" t="str">
        <f ca="1">IF($H10=リスト!$AA$4,"-",
   IF($C10="-","-",
     IF(AD$4&gt;$P10,"-",
       IF(AD$4=1,$E10,OFFSET(AD10,0,-2)-OFFSET(AD10,0,-1)
))))</f>
        <v>-</v>
      </c>
      <c r="AE10" s="57" t="str">
        <f>IF($H10=リスト!$AA$4,"-",
 IF($C10="-","-",
  IF(AD$4&gt;$P10,"-",
   CHOOSE(MATCH($H$3,リスト!$AE$3:$AE$5,0),
    ROUNDUP(
      AD10*IF(AD10*$I10&lt;=$L10,$J10,$I10)*
      IF($P10=1,
         $S10/12,
         IF(AD$4=1,
            $T10/12,
            IF(AD$4=$P10,
               $U10/12,
               1
      ))),0),
    ROUNDDOWN(
      AD10*IF(AD10*$I10&lt;=$L10,$J10,$I10)*
      IF($P10=1,
         $S10/12,
         IF(AD$4=1,
            $T10/12,
            IF(AD$4=$P10,
               $U10/12,
               1
      ))),0),
    ROUND(
      AD10*IF(AD10*$I10&lt;=$L10,$J10,$I10)*
      IF($P10=1,
         $S10/12,
         IF(AD$4=1,
            $T10/12,
            IF(AD$4=$P10,
               $U10/12,
               1
      ))),0)
))))</f>
        <v>-</v>
      </c>
      <c r="AF10" s="56" t="str">
        <f ca="1">IF($H10=リスト!$AA$4,"-",
   IF($C10="-","-",
     IF(AF$4&gt;$P10,"-",
       IF(AF$4=1,$E10,OFFSET(AF10,0,-2)-OFFSET(AF10,0,-1)
))))</f>
        <v>-</v>
      </c>
      <c r="AG10" s="57" t="str">
        <f>IF($H10=リスト!$AA$4,"-",
 IF($C10="-","-",
  IF(AF$4&gt;$P10,"-",
   CHOOSE(MATCH($H$3,リスト!$AE$3:$AE$5,0),
    ROUNDUP(
      AF10*IF(AF10*$I10&lt;=$L10,$J10,$I10)*
      IF($P10=1,
         $S10/12,
         IF(AF$4=1,
            $T10/12,
            IF(AF$4=$P10,
               $U10/12,
               1
      ))),0),
    ROUNDDOWN(
      AF10*IF(AF10*$I10&lt;=$L10,$J10,$I10)*
      IF($P10=1,
         $S10/12,
         IF(AF$4=1,
            $T10/12,
            IF(AF$4=$P10,
               $U10/12,
               1
      ))),0),
    ROUND(
      AF10*IF(AF10*$I10&lt;=$L10,$J10,$I10)*
      IF($P10=1,
         $S10/12,
         IF(AF$4=1,
            $T10/12,
            IF(AF$4=$P10,
               $U10/12,
               1
      ))),0)
))))</f>
        <v>-</v>
      </c>
      <c r="AH10" s="56" t="str">
        <f ca="1">IF($H10=リスト!$AA$4,"-",
   IF($C10="-","-",
     IF(AH$4&gt;$P10,"-",
       IF(AH$4=1,$E10,OFFSET(AH10,0,-2)-OFFSET(AH10,0,-1)
))))</f>
        <v>-</v>
      </c>
      <c r="AI10" s="57" t="str">
        <f>IF($H10=リスト!$AA$4,"-",
 IF($C10="-","-",
  IF(AH$4&gt;$P10,"-",
   CHOOSE(MATCH($H$3,リスト!$AE$3:$AE$5,0),
    ROUNDUP(
      AH10*IF(AH10*$I10&lt;=$L10,$J10,$I10)*
      IF($P10=1,
         $S10/12,
         IF(AH$4=1,
            $T10/12,
            IF(AH$4=$P10,
               $U10/12,
               1
      ))),0),
    ROUNDDOWN(
      AH10*IF(AH10*$I10&lt;=$L10,$J10,$I10)*
      IF($P10=1,
         $S10/12,
         IF(AH$4=1,
            $T10/12,
            IF(AH$4=$P10,
               $U10/12,
               1
      ))),0),
    ROUND(
      AH10*IF(AH10*$I10&lt;=$L10,$J10,$I10)*
      IF($P10=1,
         $S10/12,
         IF(AH$4=1,
            $T10/12,
            IF(AH$4=$P10,
               $U10/12,
               1
      ))),0)
))))</f>
        <v>-</v>
      </c>
      <c r="AJ10" s="56" t="str">
        <f ca="1">IF($H10=リスト!$AA$4,"-",
   IF($C10="-","-",
     IF(AJ$4&gt;$P10,"-",
       IF(AJ$4=1,$E10,OFFSET(AJ10,0,-2)-OFFSET(AJ10,0,-1)
))))</f>
        <v>-</v>
      </c>
      <c r="AK10" s="57" t="str">
        <f>IF($H10=リスト!$AA$4,"-",
 IF($C10="-","-",
  IF(AJ$4&gt;$P10,"-",
   CHOOSE(MATCH($H$3,リスト!$AE$3:$AE$5,0),
    ROUNDUP(
      AJ10*IF(AJ10*$I10&lt;=$L10,$J10,$I10)*
      IF($P10=1,
         $S10/12,
         IF(AJ$4=1,
            $T10/12,
            IF(AJ$4=$P10,
               $U10/12,
               1
      ))),0),
    ROUNDDOWN(
      AJ10*IF(AJ10*$I10&lt;=$L10,$J10,$I10)*
      IF($P10=1,
         $S10/12,
         IF(AJ$4=1,
            $T10/12,
            IF(AJ$4=$P10,
               $U10/12,
               1
      ))),0),
    ROUND(
      AJ10*IF(AJ10*$I10&lt;=$L10,$J10,$I10)*
      IF($P10=1,
         $S10/12,
         IF(AJ$4=1,
            $T10/12,
            IF(AJ$4=$P10,
               $U10/12,
               1
      ))),0)
))))</f>
        <v>-</v>
      </c>
      <c r="AL10" s="56" t="str">
        <f ca="1">IF($H10=リスト!$AA$4,"-",
   IF($C10="-","-",
     IF(AL$4&gt;$P10,"-",
       IF(AL$4=1,$E10,OFFSET(AL10,0,-2)-OFFSET(AL10,0,-1)
))))</f>
        <v>-</v>
      </c>
      <c r="AM10" s="57" t="str">
        <f>IF($H10=リスト!$AA$4,"-",
 IF($C10="-","-",
  IF(AL$4&gt;$P10,"-",
   CHOOSE(MATCH($H$3,リスト!$AE$3:$AE$5,0),
    ROUNDUP(
      AL10*IF(AL10*$I10&lt;=$L10,$J10,$I10)*
      IF($P10=1,
         $S10/12,
         IF(AL$4=1,
            $T10/12,
            IF(AL$4=$P10,
               $U10/12,
               1
      ))),0),
    ROUNDDOWN(
      AL10*IF(AL10*$I10&lt;=$L10,$J10,$I10)*
      IF($P10=1,
         $S10/12,
         IF(AL$4=1,
            $T10/12,
            IF(AL$4=$P10,
               $U10/12,
               1
      ))),0),
    ROUND(
      AL10*IF(AL10*$I10&lt;=$L10,$J10,$I10)*
      IF($P10=1,
         $S10/12,
         IF(AL$4=1,
            $T10/12,
            IF(AL$4=$P10,
               $U10/12,
               1
      ))),0)
))))</f>
        <v>-</v>
      </c>
      <c r="AN10" s="56" t="str">
        <f ca="1">IF($H10=リスト!$AA$4,"-",
   IF($C10="-","-",
     IF(AN$4&gt;$P10,"-",
       IF(AN$4=1,$E10,OFFSET(AN10,0,-2)-OFFSET(AN10,0,-1)
))))</f>
        <v>-</v>
      </c>
      <c r="AO10" s="57" t="str">
        <f>IF($H10=リスト!$AA$4,"-",
 IF($C10="-","-",
  IF(AN$4&gt;$P10,"-",
   CHOOSE(MATCH($H$3,リスト!$AE$3:$AE$5,0),
    ROUNDUP(
      AN10*IF(AN10*$I10&lt;=$L10,$J10,$I10)*
      IF($P10=1,
         $S10/12,
         IF(AN$4=1,
            $T10/12,
            IF(AN$4=$P10,
               $U10/12,
               1
      ))),0),
    ROUNDDOWN(
      AN10*IF(AN10*$I10&lt;=$L10,$J10,$I10)*
      IF($P10=1,
         $S10/12,
         IF(AN$4=1,
            $T10/12,
            IF(AN$4=$P10,
               $U10/12,
               1
      ))),0),
    ROUND(
      AN10*IF(AN10*$I10&lt;=$L10,$J10,$I10)*
      IF($P10=1,
         $S10/12,
         IF(AN$4=1,
            $T10/12,
            IF(AN$4=$P10,
               $U10/12,
               1
      ))),0)
))))</f>
        <v>-</v>
      </c>
      <c r="AP10" s="56" t="str">
        <f ca="1">IF($H10=リスト!$AA$4,"-",
   IF($C10="-","-",
     IF(AP$4&gt;$P10,"-",
       IF(AP$4=1,$E10,OFFSET(AP10,0,-2)-OFFSET(AP10,0,-1)
))))</f>
        <v>-</v>
      </c>
      <c r="AQ10" s="57" t="str">
        <f>IF($H10=リスト!$AA$4,"-",
 IF($C10="-","-",
  IF(AP$4&gt;$P10,"-",
   CHOOSE(MATCH($H$3,リスト!$AE$3:$AE$5,0),
    ROUNDUP(
      AP10*IF(AP10*$I10&lt;=$L10,$J10,$I10)*
      IF($P10=1,
         $S10/12,
         IF(AP$4=1,
            $T10/12,
            IF(AP$4=$P10,
               $U10/12,
               1
      ))),0),
    ROUNDDOWN(
      AP10*IF(AP10*$I10&lt;=$L10,$J10,$I10)*
      IF($P10=1,
         $S10/12,
         IF(AP$4=1,
            $T10/12,
            IF(AP$4=$P10,
               $U10/12,
               1
      ))),0),
    ROUND(
      AP10*IF(AP10*$I10&lt;=$L10,$J10,$I10)*
      IF($P10=1,
         $S10/12,
         IF(AP$4=1,
            $T10/12,
            IF(AP$4=$P10,
               $U10/12,
               1
      ))),0)
))))</f>
        <v>-</v>
      </c>
      <c r="AR10" s="56" t="str">
        <f ca="1">IF($H10=リスト!$AA$4,"-",
   IF($C10="-","-",
     IF(AR$4&gt;$P10,"-",
       IF(AR$4=1,$E10,OFFSET(AR10,0,-2)-OFFSET(AR10,0,-1)
))))</f>
        <v>-</v>
      </c>
      <c r="AS10" s="57" t="str">
        <f>IF($H10=リスト!$AA$4,"-",
 IF($C10="-","-",
  IF(AR$4&gt;$P10,"-",
   CHOOSE(MATCH($H$3,リスト!$AE$3:$AE$5,0),
    ROUNDUP(
      AR10*IF(AR10*$I10&lt;=$L10,$J10,$I10)*
      IF($P10=1,
         $S10/12,
         IF(AR$4=1,
            $T10/12,
            IF(AR$4=$P10,
               $U10/12,
               1
      ))),0),
    ROUNDDOWN(
      AR10*IF(AR10*$I10&lt;=$L10,$J10,$I10)*
      IF($P10=1,
         $S10/12,
         IF(AR$4=1,
            $T10/12,
            IF(AR$4=$P10,
               $U10/12,
               1
      ))),0),
    ROUND(
      AR10*IF(AR10*$I10&lt;=$L10,$J10,$I10)*
      IF($P10=1,
         $S10/12,
         IF(AR$4=1,
            $T10/12,
            IF(AR$4=$P10,
               $U10/12,
               1
      ))),0)
))))</f>
        <v>-</v>
      </c>
      <c r="AT10" s="56" t="str">
        <f ca="1">IF($H10=リスト!$AA$4,"-",
   IF($C10="-","-",
     IF(AT$4&gt;$P10,"-",
       IF(AT$4=1,$E10,OFFSET(AT10,0,-2)-OFFSET(AT10,0,-1)
))))</f>
        <v>-</v>
      </c>
      <c r="AU10" s="57" t="str">
        <f>IF($H10=リスト!$AA$4,"-",
 IF($C10="-","-",
  IF(AT$4&gt;$P10,"-",
   CHOOSE(MATCH($H$3,リスト!$AE$3:$AE$5,0),
    ROUNDUP(
      AT10*IF(AT10*$I10&lt;=$L10,$J10,$I10)*
      IF($P10=1,
         $S10/12,
         IF(AT$4=1,
            $T10/12,
            IF(AT$4=$P10,
               $U10/12,
               1
      ))),0),
    ROUNDDOWN(
      AT10*IF(AT10*$I10&lt;=$L10,$J10,$I10)*
      IF($P10=1,
         $S10/12,
         IF(AT$4=1,
            $T10/12,
            IF(AT$4=$P10,
               $U10/12,
               1
      ))),0),
    ROUND(
      AT10*IF(AT10*$I10&lt;=$L10,$J10,$I10)*
      IF($P10=1,
         $S10/12,
         IF(AT$4=1,
            $T10/12,
            IF(AT$4=$P10,
               $U10/12,
               1
      ))),0)
))))</f>
        <v>-</v>
      </c>
      <c r="AV10" s="56" t="str">
        <f ca="1">IF($H10=リスト!$AA$4,"-",
   IF($C10="-","-",
     IF(AV$4&gt;$P10,"-",
       IF(AV$4=1,$E10,OFFSET(AV10,0,-2)-OFFSET(AV10,0,-1)
))))</f>
        <v>-</v>
      </c>
      <c r="AW10" s="57" t="str">
        <f>IF($H10=リスト!$AA$4,"-",
 IF($C10="-","-",
  IF(AV$4&gt;$P10,"-",
   CHOOSE(MATCH($H$3,リスト!$AE$3:$AE$5,0),
    ROUNDUP(
      AV10*IF(AV10*$I10&lt;=$L10,$J10,$I10)*
      IF($P10=1,
         $S10/12,
         IF(AV$4=1,
            $T10/12,
            IF(AV$4=$P10,
               $U10/12,
               1
      ))),0),
    ROUNDDOWN(
      AV10*IF(AV10*$I10&lt;=$L10,$J10,$I10)*
      IF($P10=1,
         $S10/12,
         IF(AV$4=1,
            $T10/12,
            IF(AV$4=$P10,
               $U10/12,
               1
      ))),0),
    ROUND(
      AV10*IF(AV10*$I10&lt;=$L10,$J10,$I10)*
      IF($P10=1,
         $S10/12,
         IF(AV$4=1,
            $T10/12,
            IF(AV$4=$P10,
               $U10/12,
               1
      ))),0)
))))</f>
        <v>-</v>
      </c>
      <c r="AX10" s="56" t="str">
        <f ca="1">IF($H10=リスト!$AA$4,"-",
   IF($C10="-","-",
     IF(AX$4&gt;$P10,"-",
       IF(AX$4=1,$E10,OFFSET(AX10,0,-2)-OFFSET(AX10,0,-1)
))))</f>
        <v>-</v>
      </c>
      <c r="AY10" s="57" t="str">
        <f>IF($H10=リスト!$AA$4,"-",
 IF($C10="-","-",
  IF(AX$4&gt;$P10,"-",
   CHOOSE(MATCH($H$3,リスト!$AE$3:$AE$5,0),
    ROUNDUP(
      AX10*IF(AX10*$I10&lt;=$L10,$J10,$I10)*
      IF($P10=1,
         $S10/12,
         IF(AX$4=1,
            $T10/12,
            IF(AX$4=$P10,
               $U10/12,
               1
      ))),0),
    ROUNDDOWN(
      AX10*IF(AX10*$I10&lt;=$L10,$J10,$I10)*
      IF($P10=1,
         $S10/12,
         IF(AX$4=1,
            $T10/12,
            IF(AX$4=$P10,
               $U10/12,
               1
      ))),0),
    ROUND(
      AX10*IF(AX10*$I10&lt;=$L10,$J10,$I10)*
      IF($P10=1,
         $S10/12,
         IF(AX$4=1,
            $T10/12,
            IF(AX$4=$P10,
               $U10/12,
               1
      ))),0)
))))</f>
        <v>-</v>
      </c>
      <c r="AZ10" s="56" t="str">
        <f ca="1">IF($H10=リスト!$AA$4,"-",
   IF($C10="-","-",
     IF(AZ$4&gt;$P10,"-",
       IF(AZ$4=1,$E10,OFFSET(AZ10,0,-2)-OFFSET(AZ10,0,-1)
))))</f>
        <v>-</v>
      </c>
      <c r="BA10" s="57" t="str">
        <f>IF($H10=リスト!$AA$4,"-",
 IF($C10="-","-",
  IF(AZ$4&gt;$P10,"-",
   CHOOSE(MATCH($H$3,リスト!$AE$3:$AE$5,0),
    ROUNDUP(
      AZ10*IF(AZ10*$I10&lt;=$L10,$J10,$I10)*
      IF($P10=1,
         $S10/12,
         IF(AZ$4=1,
            $T10/12,
            IF(AZ$4=$P10,
               $U10/12,
               1
      ))),0),
    ROUNDDOWN(
      AZ10*IF(AZ10*$I10&lt;=$L10,$J10,$I10)*
      IF($P10=1,
         $S10/12,
         IF(AZ$4=1,
            $T10/12,
            IF(AZ$4=$P10,
               $U10/12,
               1
      ))),0),
    ROUND(
      AZ10*IF(AZ10*$I10&lt;=$L10,$J10,$I10)*
      IF($P10=1,
         $S10/12,
         IF(AZ$4=1,
            $T10/12,
            IF(AZ$4=$P10,
               $U10/12,
               1
      ))),0)
))))</f>
        <v>-</v>
      </c>
      <c r="BB10" s="56" t="str">
        <f ca="1">IF($H10=リスト!$AA$4,"-",
   IF($C10="-","-",
     IF(BB$4&gt;$P10,"-",
       IF(BB$4=1,$E10,OFFSET(BB10,0,-2)-OFFSET(BB10,0,-1)
))))</f>
        <v>-</v>
      </c>
      <c r="BC10" s="57" t="str">
        <f>IF($H10=リスト!$AA$4,"-",
 IF($C10="-","-",
  IF(BB$4&gt;$P10,"-",
   CHOOSE(MATCH($H$3,リスト!$AE$3:$AE$5,0),
    ROUNDUP(
      BB10*IF(BB10*$I10&lt;=$L10,$J10,$I10)*
      IF($P10=1,
         $S10/12,
         IF(BB$4=1,
            $T10/12,
            IF(BB$4=$P10,
               $U10/12,
               1
      ))),0),
    ROUNDDOWN(
      BB10*IF(BB10*$I10&lt;=$L10,$J10,$I10)*
      IF($P10=1,
         $S10/12,
         IF(BB$4=1,
            $T10/12,
            IF(BB$4=$P10,
               $U10/12,
               1
      ))),0),
    ROUND(
      BB10*IF(BB10*$I10&lt;=$L10,$J10,$I10)*
      IF($P10=1,
         $S10/12,
         IF(BB$4=1,
            $T10/12,
            IF(BB$4=$P10,
               $U10/12,
               1
      ))),0)
))))</f>
        <v>-</v>
      </c>
      <c r="BD10" s="56" t="str">
        <f ca="1">IF($H10=リスト!$AA$4,"-",
   IF($C10="-","-",
     IF(BD$4&gt;$P10,"-",
       IF(BD$4=1,$E10,OFFSET(BD10,0,-2)-OFFSET(BD10,0,-1)
))))</f>
        <v>-</v>
      </c>
      <c r="BE10" s="57" t="str">
        <f>IF($H10=リスト!$AA$4,"-",
 IF($C10="-","-",
  IF(BD$4&gt;$P10,"-",
   CHOOSE(MATCH($H$3,リスト!$AE$3:$AE$5,0),
    ROUNDUP(
      BD10*IF(BD10*$I10&lt;=$L10,$J10,$I10)*
      IF($P10=1,
         $S10/12,
         IF(BD$4=1,
            $T10/12,
            IF(BD$4=$P10,
               $U10/12,
               1
      ))),0),
    ROUNDDOWN(
      BD10*IF(BD10*$I10&lt;=$L10,$J10,$I10)*
      IF($P10=1,
         $S10/12,
         IF(BD$4=1,
            $T10/12,
            IF(BD$4=$P10,
               $U10/12,
               1
      ))),0),
    ROUND(
      BD10*IF(BD10*$I10&lt;=$L10,$J10,$I10)*
      IF($P10=1,
         $S10/12,
         IF(BD$4=1,
            $T10/12,
            IF(BD$4=$P10,
               $U10/12,
               1
      ))),0)
))))</f>
        <v>-</v>
      </c>
      <c r="BF10" s="56" t="str">
        <f ca="1">IF($H10=リスト!$AA$4,"-",
   IF($C10="-","-",
     IF(BF$4&gt;$P10,"-",
       IF(BF$4=1,$E10,OFFSET(BF10,0,-2)-OFFSET(BF10,0,-1)
))))</f>
        <v>-</v>
      </c>
      <c r="BG10" s="57" t="str">
        <f>IF($H10=リスト!$AA$4,"-",
 IF($C10="-","-",
  IF(BF$4&gt;$P10,"-",
   CHOOSE(MATCH($H$3,リスト!$AE$3:$AE$5,0),
    ROUNDUP(
      BF10*IF(BF10*$I10&lt;=$L10,$J10,$I10)*
      IF($P10=1,
         $S10/12,
         IF(BF$4=1,
            $T10/12,
            IF(BF$4=$P10,
               $U10/12,
               1
      ))),0),
    ROUNDDOWN(
      BF10*IF(BF10*$I10&lt;=$L10,$J10,$I10)*
      IF($P10=1,
         $S10/12,
         IF(BF$4=1,
            $T10/12,
            IF(BF$4=$P10,
               $U10/12,
               1
      ))),0),
    ROUND(
      BF10*IF(BF10*$I10&lt;=$L10,$J10,$I10)*
      IF($P10=1,
         $S10/12,
         IF(BF$4=1,
            $T10/12,
            IF(BF$4=$P10,
               $U10/12,
               1
      ))),0)
))))</f>
        <v>-</v>
      </c>
      <c r="BH10" s="56" t="str">
        <f ca="1">IF($H10=リスト!$AA$4,"-",
   IF($C10="-","-",
     IF(BH$4&gt;$P10,"-",
       IF(BH$4=1,$E10,OFFSET(BH10,0,-2)-OFFSET(BH10,0,-1)
))))</f>
        <v>-</v>
      </c>
      <c r="BI10" s="57" t="str">
        <f>IF($H10=リスト!$AA$4,"-",
 IF($C10="-","-",
  IF(BH$4&gt;$P10,"-",
   CHOOSE(MATCH($H$3,リスト!$AE$3:$AE$5,0),
    ROUNDUP(
      BH10*IF(BH10*$I10&lt;=$L10,$J10,$I10)*
      IF($P10=1,
         $S10/12,
         IF(BH$4=1,
            $T10/12,
            IF(BH$4=$P10,
               $U10/12,
               1
      ))),0),
    ROUNDDOWN(
      BH10*IF(BH10*$I10&lt;=$L10,$J10,$I10)*
      IF($P10=1,
         $S10/12,
         IF(BH$4=1,
            $T10/12,
            IF(BH$4=$P10,
               $U10/12,
               1
      ))),0),
    ROUND(
      BH10*IF(BH10*$I10&lt;=$L10,$J10,$I10)*
      IF($P10=1,
         $S10/12,
         IF(BH$4=1,
            $T10/12,
            IF(BH$4=$P10,
               $U10/12,
               1
      ))),0)
))))</f>
        <v>-</v>
      </c>
      <c r="BJ10" s="56" t="str">
        <f ca="1">IF($H10=リスト!$AA$4,"-",
   IF($C10="-","-",
     IF(BJ$4&gt;$P10,"-",
       IF(BJ$4=1,$E10,OFFSET(BJ10,0,-2)-OFFSET(BJ10,0,-1)
))))</f>
        <v>-</v>
      </c>
      <c r="BK10" s="57" t="str">
        <f>IF($H10=リスト!$AA$4,"-",
 IF($C10="-","-",
  IF(BJ$4&gt;$P10,"-",
   CHOOSE(MATCH($H$3,リスト!$AE$3:$AE$5,0),
    ROUNDUP(
      BJ10*IF(BJ10*$I10&lt;=$L10,$J10,$I10)*
      IF($P10=1,
         $S10/12,
         IF(BJ$4=1,
            $T10/12,
            IF(BJ$4=$P10,
               $U10/12,
               1
      ))),0),
    ROUNDDOWN(
      BJ10*IF(BJ10*$I10&lt;=$L10,$J10,$I10)*
      IF($P10=1,
         $S10/12,
         IF(BJ$4=1,
            $T10/12,
            IF(BJ$4=$P10,
               $U10/12,
               1
      ))),0),
    ROUND(
      BJ10*IF(BJ10*$I10&lt;=$L10,$J10,$I10)*
      IF($P10=1,
         $S10/12,
         IF(BJ$4=1,
            $T10/12,
            IF(BJ$4=$P10,
               $U10/12,
               1
      ))),0)
))))</f>
        <v>-</v>
      </c>
      <c r="BL10" s="56" t="str">
        <f ca="1">IF($H10=リスト!$AA$4,"-",
   IF($C10="-","-",
     IF(BL$4&gt;$P10,"-",
       IF(BL$4=1,$E10,OFFSET(BL10,0,-2)-OFFSET(BL10,0,-1)
))))</f>
        <v>-</v>
      </c>
      <c r="BM10" s="57" t="str">
        <f>IF($H10=リスト!$AA$4,"-",
 IF($C10="-","-",
  IF(BL$4&gt;$P10,"-",
   CHOOSE(MATCH($H$3,リスト!$AE$3:$AE$5,0),
    ROUNDUP(
      BL10*IF(BL10*$I10&lt;=$L10,$J10,$I10)*
      IF($P10=1,
         $S10/12,
         IF(BL$4=1,
            $T10/12,
            IF(BL$4=$P10,
               $U10/12,
               1
      ))),0),
    ROUNDDOWN(
      BL10*IF(BL10*$I10&lt;=$L10,$J10,$I10)*
      IF($P10=1,
         $S10/12,
         IF(BL$4=1,
            $T10/12,
            IF(BL$4=$P10,
               $U10/12,
               1
      ))),0),
    ROUND(
      BL10*IF(BL10*$I10&lt;=$L10,$J10,$I10)*
      IF($P10=1,
         $S10/12,
         IF(BL$4=1,
            $T10/12,
            IF(BL$4=$P10,
               $U10/12,
               1
      ))),0)
))))</f>
        <v>-</v>
      </c>
      <c r="BN10" s="56" t="str">
        <f ca="1">IF($H10=リスト!$AA$4,"-",
   IF($C10="-","-",
     IF(BN$4&gt;$P10,"-",
       IF(BN$4=1,$E10,OFFSET(BN10,0,-2)-OFFSET(BN10,0,-1)
))))</f>
        <v>-</v>
      </c>
      <c r="BO10" s="57" t="str">
        <f>IF($H10=リスト!$AA$4,"-",
 IF($C10="-","-",
  IF(BN$4&gt;$P10,"-",
   CHOOSE(MATCH($H$3,リスト!$AE$3:$AE$5,0),
    ROUNDUP(
      BN10*IF(BN10*$I10&lt;=$L10,$J10,$I10)*
      IF($P10=1,
         $S10/12,
         IF(BN$4=1,
            $T10/12,
            IF(BN$4=$P10,
               $U10/12,
               1
      ))),0),
    ROUNDDOWN(
      BN10*IF(BN10*$I10&lt;=$L10,$J10,$I10)*
      IF($P10=1,
         $S10/12,
         IF(BN$4=1,
            $T10/12,
            IF(BN$4=$P10,
               $U10/12,
               1
      ))),0),
    ROUND(
      BN10*IF(BN10*$I10&lt;=$L10,$J10,$I10)*
      IF($P10=1,
         $S10/12,
         IF(BN$4=1,
            $T10/12,
            IF(BN$4=$P10,
               $U10/12,
               1
      ))),0)
))))</f>
        <v>-</v>
      </c>
      <c r="BP10" s="56" t="str">
        <f ca="1">IF($H10=リスト!$AA$4,"-",
   IF($C10="-","-",
     IF(BP$4&gt;$P10,"-",
       IF(BP$4=1,$E10,OFFSET(BP10,0,-2)-OFFSET(BP10,0,-1)
))))</f>
        <v>-</v>
      </c>
      <c r="BQ10" s="57" t="str">
        <f>IF($H10=リスト!$AA$4,"-",
 IF($C10="-","-",
  IF(BP$4&gt;$P10,"-",
   CHOOSE(MATCH($H$3,リスト!$AE$3:$AE$5,0),
    ROUNDUP(
      BP10*IF(BP10*$I10&lt;=$L10,$J10,$I10)*
      IF($P10=1,
         $S10/12,
         IF(BP$4=1,
            $T10/12,
            IF(BP$4=$P10,
               $U10/12,
               1
      ))),0),
    ROUNDDOWN(
      BP10*IF(BP10*$I10&lt;=$L10,$J10,$I10)*
      IF($P10=1,
         $S10/12,
         IF(BP$4=1,
            $T10/12,
            IF(BP$4=$P10,
               $U10/12,
               1
      ))),0),
    ROUND(
      BP10*IF(BP10*$I10&lt;=$L10,$J10,$I10)*
      IF($P10=1,
         $S10/12,
         IF(BP$4=1,
            $T10/12,
            IF(BP$4=$P10,
               $U10/12,
               1
      ))),0)
))))</f>
        <v>-</v>
      </c>
      <c r="BR10" s="56" t="str">
        <f ca="1">IF($H10=リスト!$AA$4,"-",
   IF($C10="-","-",
     IF(BR$4&gt;$P10,"-",
       IF(BR$4=1,$E10,OFFSET(BR10,0,-2)-OFFSET(BR10,0,-1)
))))</f>
        <v>-</v>
      </c>
      <c r="BS10" s="57" t="str">
        <f>IF($H10=リスト!$AA$4,"-",
 IF($C10="-","-",
  IF(BR$4&gt;$P10,"-",
   CHOOSE(MATCH($H$3,リスト!$AE$3:$AE$5,0),
    ROUNDUP(
      BR10*IF(BR10*$I10&lt;=$L10,$J10,$I10)*
      IF($P10=1,
         $S10/12,
         IF(BR$4=1,
            $T10/12,
            IF(BR$4=$P10,
               $U10/12,
               1
      ))),0),
    ROUNDDOWN(
      BR10*IF(BR10*$I10&lt;=$L10,$J10,$I10)*
      IF($P10=1,
         $S10/12,
         IF(BR$4=1,
            $T10/12,
            IF(BR$4=$P10,
               $U10/12,
               1
      ))),0),
    ROUND(
      BR10*IF(BR10*$I10&lt;=$L10,$J10,$I10)*
      IF($P10=1,
         $S10/12,
         IF(BR$4=1,
            $T10/12,
            IF(BR$4=$P10,
               $U10/12,
               1
      ))),0)
))))</f>
        <v>-</v>
      </c>
      <c r="BT10" s="56" t="str">
        <f ca="1">IF($H10=リスト!$AA$4,"-",
   IF($C10="-","-",
     IF(BT$4&gt;$P10,"-",
       IF(BT$4=1,$E10,OFFSET(BT10,0,-2)-OFFSET(BT10,0,-1)
))))</f>
        <v>-</v>
      </c>
      <c r="BU10" s="57" t="str">
        <f>IF($H10=リスト!$AA$4,"-",
 IF($C10="-","-",
  IF(BT$4&gt;$P10,"-",
   CHOOSE(MATCH($H$3,リスト!$AE$3:$AE$5,0),
    ROUNDUP(
      BT10*IF(BT10*$I10&lt;=$L10,$J10,$I10)*
      IF($P10=1,
         $S10/12,
         IF(BT$4=1,
            $T10/12,
            IF(BT$4=$P10,
               $U10/12,
               1
      ))),0),
    ROUNDDOWN(
      BT10*IF(BT10*$I10&lt;=$L10,$J10,$I10)*
      IF($P10=1,
         $S10/12,
         IF(BT$4=1,
            $T10/12,
            IF(BT$4=$P10,
               $U10/12,
               1
      ))),0),
    ROUND(
      BT10*IF(BT10*$I10&lt;=$L10,$J10,$I10)*
      IF($P10=1,
         $S10/12,
         IF(BT$4=1,
            $T10/12,
            IF(BT$4=$P10,
               $U10/12,
               1
      ))),0)
))))</f>
        <v>-</v>
      </c>
      <c r="BV10" s="56" t="str">
        <f ca="1">IF($H10=リスト!$AA$4,"-",
   IF($C10="-","-",
     IF(BV$4&gt;$P10,"-",
       IF(BV$4=1,$E10,OFFSET(BV10,0,-2)-OFFSET(BV10,0,-1)
))))</f>
        <v>-</v>
      </c>
      <c r="BW10" s="57" t="str">
        <f>IF($H10=リスト!$AA$4,"-",
 IF($C10="-","-",
  IF(BV$4&gt;$P10,"-",
   CHOOSE(MATCH($H$3,リスト!$AE$3:$AE$5,0),
    ROUNDUP(
      BV10*IF(BV10*$I10&lt;=$L10,$J10,$I10)*
      IF($P10=1,
         $S10/12,
         IF(BV$4=1,
            $T10/12,
            IF(BV$4=$P10,
               $U10/12,
               1
      ))),0),
    ROUNDDOWN(
      BV10*IF(BV10*$I10&lt;=$L10,$J10,$I10)*
      IF($P10=1,
         $S10/12,
         IF(BV$4=1,
            $T10/12,
            IF(BV$4=$P10,
               $U10/12,
               1
      ))),0),
    ROUND(
      BV10*IF(BV10*$I10&lt;=$L10,$J10,$I10)*
      IF($P10=1,
         $S10/12,
         IF(BV$4=1,
            $T10/12,
            IF(BV$4=$P10,
               $U10/12,
               1
      ))),0)
))))</f>
        <v>-</v>
      </c>
      <c r="BX10" s="56" t="str">
        <f ca="1">IF($H10=リスト!$AA$4,"-",
   IF($C10="-","-",
     IF(BX$4&gt;$P10,"-",
       IF(BX$4=1,$E10,OFFSET(BX10,0,-2)-OFFSET(BX10,0,-1)
))))</f>
        <v>-</v>
      </c>
      <c r="BY10" s="57" t="str">
        <f>IF($H10=リスト!$AA$4,"-",
 IF($C10="-","-",
  IF(BX$4&gt;$P10,"-",
   CHOOSE(MATCH($H$3,リスト!$AE$3:$AE$5,0),
    ROUNDUP(
      BX10*IF(BX10*$I10&lt;=$L10,$J10,$I10)*
      IF($P10=1,
         $S10/12,
         IF(BX$4=1,
            $T10/12,
            IF(BX$4=$P10,
               $U10/12,
               1
      ))),0),
    ROUNDDOWN(
      BX10*IF(BX10*$I10&lt;=$L10,$J10,$I10)*
      IF($P10=1,
         $S10/12,
         IF(BX$4=1,
            $T10/12,
            IF(BX$4=$P10,
               $U10/12,
               1
      ))),0),
    ROUND(
      BX10*IF(BX10*$I10&lt;=$L10,$J10,$I10)*
      IF($P10=1,
         $S10/12,
         IF(BX$4=1,
            $T10/12,
            IF(BX$4=$P10,
               $U10/12,
               1
      ))),0)
))))</f>
        <v>-</v>
      </c>
      <c r="BZ10" s="56" t="str">
        <f ca="1">IF($H10=リスト!$AA$4,"-",
   IF($C10="-","-",
     IF(BZ$4&gt;$P10,"-",
       IF(BZ$4=1,$E10,OFFSET(BZ10,0,-2)-OFFSET(BZ10,0,-1)
))))</f>
        <v>-</v>
      </c>
      <c r="CA10" s="57" t="str">
        <f>IF($H10=リスト!$AA$4,"-",
 IF($C10="-","-",
  IF(BZ$4&gt;$P10,"-",
   CHOOSE(MATCH($H$3,リスト!$AE$3:$AE$5,0),
    ROUNDUP(
      BZ10*IF(BZ10*$I10&lt;=$L10,$J10,$I10)*
      IF($P10=1,
         $S10/12,
         IF(BZ$4=1,
            $T10/12,
            IF(BZ$4=$P10,
               $U10/12,
               1
      ))),0),
    ROUNDDOWN(
      BZ10*IF(BZ10*$I10&lt;=$L10,$J10,$I10)*
      IF($P10=1,
         $S10/12,
         IF(BZ$4=1,
            $T10/12,
            IF(BZ$4=$P10,
               $U10/12,
               1
      ))),0),
    ROUND(
      BZ10*IF(BZ10*$I10&lt;=$L10,$J10,$I10)*
      IF($P10=1,
         $S10/12,
         IF(BZ$4=1,
            $T10/12,
            IF(BZ$4=$P10,
               $U10/12,
               1
      ))),0)
))))</f>
        <v>-</v>
      </c>
      <c r="CB10" s="56" t="str">
        <f ca="1">IF($H10=リスト!$AA$4,"-",
   IF($C10="-","-",
     IF(CB$4&gt;$P10,"-",
       IF(CB$4=1,$E10,OFFSET(CB10,0,-2)-OFFSET(CB10,0,-1)
))))</f>
        <v>-</v>
      </c>
      <c r="CC10" s="57" t="str">
        <f>IF($H10=リスト!$AA$4,"-",
 IF($C10="-","-",
  IF(CB$4&gt;$P10,"-",
   CHOOSE(MATCH($H$3,リスト!$AE$3:$AE$5,0),
    ROUNDUP(
      CB10*IF(CB10*$I10&lt;=$L10,$J10,$I10)*
      IF($P10=1,
         $S10/12,
         IF(CB$4=1,
            $T10/12,
            IF(CB$4=$P10,
               $U10/12,
               1
      ))),0),
    ROUNDDOWN(
      CB10*IF(CB10*$I10&lt;=$L10,$J10,$I10)*
      IF($P10=1,
         $S10/12,
         IF(CB$4=1,
            $T10/12,
            IF(CB$4=$P10,
               $U10/12,
               1
      ))),0),
    ROUND(
      CB10*IF(CB10*$I10&lt;=$L10,$J10,$I10)*
      IF($P10=1,
         $S10/12,
         IF(CB$4=1,
            $T10/12,
            IF(CB$4=$P10,
               $U10/12,
               1
      ))),0)
))))</f>
        <v>-</v>
      </c>
      <c r="CD10" s="56" t="str">
        <f ca="1">IF($H10=リスト!$AA$4,"-",
   IF($C10="-","-",
     IF(CD$4&gt;$P10,"-",
       IF(CD$4=1,$E10,OFFSET(CD10,0,-2)-OFFSET(CD10,0,-1)
))))</f>
        <v>-</v>
      </c>
      <c r="CE10" s="57" t="str">
        <f>IF($H10=リスト!$AA$4,"-",
 IF($C10="-","-",
  IF(CD$4&gt;$P10,"-",
   CHOOSE(MATCH($H$3,リスト!$AE$3:$AE$5,0),
    ROUNDUP(
      CD10*IF(CD10*$I10&lt;=$L10,$J10,$I10)*
      IF($P10=1,
         $S10/12,
         IF(CD$4=1,
            $T10/12,
            IF(CD$4=$P10,
               $U10/12,
               1
      ))),0),
    ROUNDDOWN(
      CD10*IF(CD10*$I10&lt;=$L10,$J10,$I10)*
      IF($P10=1,
         $S10/12,
         IF(CD$4=1,
            $T10/12,
            IF(CD$4=$P10,
               $U10/12,
               1
      ))),0),
    ROUND(
      CD10*IF(CD10*$I10&lt;=$L10,$J10,$I10)*
      IF($P10=1,
         $S10/12,
         IF(CD$4=1,
            $T10/12,
            IF(CD$4=$P10,
               $U10/12,
               1
      ))),0)
))))</f>
        <v>-</v>
      </c>
      <c r="CF10" s="56" t="str">
        <f ca="1">IF($H10=リスト!$AA$4,"-",
   IF($C10="-","-",
     IF(CF$4&gt;$P10,"-",
       IF(CF$4=1,$E10,OFFSET(CF10,0,-2)-OFFSET(CF10,0,-1)
))))</f>
        <v>-</v>
      </c>
      <c r="CG10" s="57" t="str">
        <f>IF($H10=リスト!$AA$4,"-",
 IF($C10="-","-",
  IF(CF$4&gt;$P10,"-",
   CHOOSE(MATCH($H$3,リスト!$AE$3:$AE$5,0),
    ROUNDUP(
      CF10*IF(CF10*$I10&lt;=$L10,$J10,$I10)*
      IF($P10=1,
         $S10/12,
         IF(CF$4=1,
            $T10/12,
            IF(CF$4=$P10,
               $U10/12,
               1
      ))),0),
    ROUNDDOWN(
      CF10*IF(CF10*$I10&lt;=$L10,$J10,$I10)*
      IF($P10=1,
         $S10/12,
         IF(CF$4=1,
            $T10/12,
            IF(CF$4=$P10,
               $U10/12,
               1
      ))),0),
    ROUND(
      CF10*IF(CF10*$I10&lt;=$L10,$J10,$I10)*
      IF($P10=1,
         $S10/12,
         IF(CF$4=1,
            $T10/12,
            IF(CF$4=$P10,
               $U10/12,
               1
      ))),0)
))))</f>
        <v>-</v>
      </c>
      <c r="CH10" s="56" t="str">
        <f ca="1">IF($H10=リスト!$AA$4,"-",
   IF($C10="-","-",
     IF(CH$4&gt;$P10,"-",
       IF(CH$4=1,$E10,OFFSET(CH10,0,-2)-OFFSET(CH10,0,-1)
))))</f>
        <v>-</v>
      </c>
      <c r="CI10" s="57" t="str">
        <f>IF($H10=リスト!$AA$4,"-",
 IF($C10="-","-",
  IF(CH$4&gt;$P10,"-",
   CHOOSE(MATCH($H$3,リスト!$AE$3:$AE$5,0),
    ROUNDUP(
      CH10*IF(CH10*$I10&lt;=$L10,$J10,$I10)*
      IF($P10=1,
         $S10/12,
         IF(CH$4=1,
            $T10/12,
            IF(CH$4=$P10,
               $U10/12,
               1
      ))),0),
    ROUNDDOWN(
      CH10*IF(CH10*$I10&lt;=$L10,$J10,$I10)*
      IF($P10=1,
         $S10/12,
         IF(CH$4=1,
            $T10/12,
            IF(CH$4=$P10,
               $U10/12,
               1
      ))),0),
    ROUND(
      CH10*IF(CH10*$I10&lt;=$L10,$J10,$I10)*
      IF($P10=1,
         $S10/12,
         IF(CH$4=1,
            $T10/12,
            IF(CH$4=$P10,
               $U10/12,
               1
      ))),0)
))))</f>
        <v>-</v>
      </c>
      <c r="CJ10" s="56" t="str">
        <f ca="1">IF($H10=リスト!$AA$4,"-",
   IF($C10="-","-",
     IF(CJ$4&gt;$P10,"-",
       IF(CJ$4=1,$E10,OFFSET(CJ10,0,-2)-OFFSET(CJ10,0,-1)
))))</f>
        <v>-</v>
      </c>
      <c r="CK10" s="57" t="str">
        <f>IF($H10=リスト!$AA$4,"-",
 IF($C10="-","-",
  IF(CJ$4&gt;$P10,"-",
   CHOOSE(MATCH($H$3,リスト!$AE$3:$AE$5,0),
    ROUNDUP(
      CJ10*IF(CJ10*$I10&lt;=$L10,$J10,$I10)*
      IF($P10=1,
         $S10/12,
         IF(CJ$4=1,
            $T10/12,
            IF(CJ$4=$P10,
               $U10/12,
               1
      ))),0),
    ROUNDDOWN(
      CJ10*IF(CJ10*$I10&lt;=$L10,$J10,$I10)*
      IF($P10=1,
         $S10/12,
         IF(CJ$4=1,
            $T10/12,
            IF(CJ$4=$P10,
               $U10/12,
               1
      ))),0),
    ROUND(
      CJ10*IF(CJ10*$I10&lt;=$L10,$J10,$I10)*
      IF($P10=1,
         $S10/12,
         IF(CJ$4=1,
            $T10/12,
            IF(CJ$4=$P10,
               $U10/12,
               1
      ))),0)
))))</f>
        <v>-</v>
      </c>
      <c r="CL10" s="56" t="str">
        <f ca="1">IF($H10=リスト!$AA$4,"-",
   IF($C10="-","-",
     IF(CL$4&gt;$P10,"-",
       IF(CL$4=1,$E10,OFFSET(CL10,0,-2)-OFFSET(CL10,0,-1)
))))</f>
        <v>-</v>
      </c>
      <c r="CM10" s="57" t="str">
        <f>IF($H10=リスト!$AA$4,"-",
 IF($C10="-","-",
  IF(CL$4&gt;$P10,"-",
   CHOOSE(MATCH($H$3,リスト!$AE$3:$AE$5,0),
    ROUNDUP(
      CL10*IF(CL10*$I10&lt;=$L10,$J10,$I10)*
      IF($P10=1,
         $S10/12,
         IF(CL$4=1,
            $T10/12,
            IF(CL$4=$P10,
               $U10/12,
               1
      ))),0),
    ROUNDDOWN(
      CL10*IF(CL10*$I10&lt;=$L10,$J10,$I10)*
      IF($P10=1,
         $S10/12,
         IF(CL$4=1,
            $T10/12,
            IF(CL$4=$P10,
               $U10/12,
               1
      ))),0),
    ROUND(
      CL10*IF(CL10*$I10&lt;=$L10,$J10,$I10)*
      IF($P10=1,
         $S10/12,
         IF(CL$4=1,
            $T10/12,
            IF(CL$4=$P10,
               $U10/12,
               1
      ))),0)
))))</f>
        <v>-</v>
      </c>
      <c r="CN10" s="56" t="str">
        <f ca="1">IF($H10=リスト!$AA$4,"-",
   IF($C10="-","-",
     IF(CN$4&gt;$P10,"-",
       IF(CN$4=1,$E10,OFFSET(CN10,0,-2)-OFFSET(CN10,0,-1)
))))</f>
        <v>-</v>
      </c>
      <c r="CO10" s="57" t="str">
        <f>IF($H10=リスト!$AA$4,"-",
 IF($C10="-","-",
  IF(CN$4&gt;$P10,"-",
   CHOOSE(MATCH($H$3,リスト!$AE$3:$AE$5,0),
    ROUNDUP(
      CN10*IF(CN10*$I10&lt;=$L10,$J10,$I10)*
      IF($P10=1,
         $S10/12,
         IF(CN$4=1,
            $T10/12,
            IF(CN$4=$P10,
               $U10/12,
               1
      ))),0),
    ROUNDDOWN(
      CN10*IF(CN10*$I10&lt;=$L10,$J10,$I10)*
      IF($P10=1,
         $S10/12,
         IF(CN$4=1,
            $T10/12,
            IF(CN$4=$P10,
               $U10/12,
               1
      ))),0),
    ROUND(
      CN10*IF(CN10*$I10&lt;=$L10,$J10,$I10)*
      IF($P10=1,
         $S10/12,
         IF(CN$4=1,
            $T10/12,
            IF(CN$4=$P10,
               $U10/12,
               1
      ))),0)
))))</f>
        <v>-</v>
      </c>
      <c r="CP10" s="56" t="str">
        <f ca="1">IF($H10=リスト!$AA$4,"-",
   IF($C10="-","-",
     IF(CP$4&gt;$P10,"-",
       IF(CP$4=1,$E10,OFFSET(CP10,0,-2)-OFFSET(CP10,0,-1)
))))</f>
        <v>-</v>
      </c>
      <c r="CQ10" s="57" t="str">
        <f>IF($H10=リスト!$AA$4,"-",
 IF($C10="-","-",
  IF(CP$4&gt;$P10,"-",
   CHOOSE(MATCH($H$3,リスト!$AE$3:$AE$5,0),
    ROUNDUP(
      CP10*IF(CP10*$I10&lt;=$L10,$J10,$I10)*
      IF($P10=1,
         $S10/12,
         IF(CP$4=1,
            $T10/12,
            IF(CP$4=$P10,
               $U10/12,
               1
      ))),0),
    ROUNDDOWN(
      CP10*IF(CP10*$I10&lt;=$L10,$J10,$I10)*
      IF($P10=1,
         $S10/12,
         IF(CP$4=1,
            $T10/12,
            IF(CP$4=$P10,
               $U10/12,
               1
      ))),0),
    ROUND(
      CP10*IF(CP10*$I10&lt;=$L10,$J10,$I10)*
      IF($P10=1,
         $S10/12,
         IF(CP$4=1,
            $T10/12,
            IF(CP$4=$P10,
               $U10/12,
               1
      ))),0)
))))</f>
        <v>-</v>
      </c>
      <c r="CR10" s="56" t="str">
        <f ca="1">IF($H10=リスト!$AA$4,"-",
   IF($C10="-","-",
     IF(CR$4&gt;$P10,"-",
       IF(CR$4=1,$E10,OFFSET(CR10,0,-2)-OFFSET(CR10,0,-1)
))))</f>
        <v>-</v>
      </c>
      <c r="CS10" s="57" t="str">
        <f>IF($H10=リスト!$AA$4,"-",
 IF($C10="-","-",
  IF(CR$4&gt;$P10,"-",
   CHOOSE(MATCH($H$3,リスト!$AE$3:$AE$5,0),
    ROUNDUP(
      CR10*IF(CR10*$I10&lt;=$L10,$J10,$I10)*
      IF($P10=1,
         $S10/12,
         IF(CR$4=1,
            $T10/12,
            IF(CR$4=$P10,
               $U10/12,
               1
      ))),0),
    ROUNDDOWN(
      CR10*IF(CR10*$I10&lt;=$L10,$J10,$I10)*
      IF($P10=1,
         $S10/12,
         IF(CR$4=1,
            $T10/12,
            IF(CR$4=$P10,
               $U10/12,
               1
      ))),0),
    ROUND(
      CR10*IF(CR10*$I10&lt;=$L10,$J10,$I10)*
      IF($P10=1,
         $S10/12,
         IF(CR$4=1,
            $T10/12,
            IF(CR$4=$P10,
               $U10/12,
               1
      ))),0)
))))</f>
        <v>-</v>
      </c>
      <c r="CT10" s="56" t="str">
        <f ca="1">IF($H10=リスト!$AA$4,"-",
   IF($C10="-","-",
     IF(CT$4&gt;$P10,"-",
       IF(CT$4=1,$E10,OFFSET(CT10,0,-2)-OFFSET(CT10,0,-1)
))))</f>
        <v>-</v>
      </c>
      <c r="CU10" s="57" t="str">
        <f>IF($H10=リスト!$AA$4,"-",
 IF($C10="-","-",
  IF(CT$4&gt;$P10,"-",
   CHOOSE(MATCH($H$3,リスト!$AE$3:$AE$5,0),
    ROUNDUP(
      CT10*IF(CT10*$I10&lt;=$L10,$J10,$I10)*
      IF($P10=1,
         $S10/12,
         IF(CT$4=1,
            $T10/12,
            IF(CT$4=$P10,
               $U10/12,
               1
      ))),0),
    ROUNDDOWN(
      CT10*IF(CT10*$I10&lt;=$L10,$J10,$I10)*
      IF($P10=1,
         $S10/12,
         IF(CT$4=1,
            $T10/12,
            IF(CT$4=$P10,
               $U10/12,
               1
      ))),0),
    ROUND(
      CT10*IF(CT10*$I10&lt;=$L10,$J10,$I10)*
      IF($P10=1,
         $S10/12,
         IF(CT$4=1,
            $T10/12,
            IF(CT$4=$P10,
               $U10/12,
               1
      ))),0)
))))</f>
        <v>-</v>
      </c>
      <c r="CV10" s="56" t="str">
        <f ca="1">IF($H10=リスト!$AA$4,"-",
   IF($C10="-","-",
     IF(CV$4&gt;$P10,"-",
       IF(CV$4=1,$E10,OFFSET(CV10,0,-2)-OFFSET(CV10,0,-1)
))))</f>
        <v>-</v>
      </c>
      <c r="CW10" s="57" t="str">
        <f>IF($H10=リスト!$AA$4,"-",
 IF($C10="-","-",
  IF(CV$4&gt;$P10,"-",
   CHOOSE(MATCH($H$3,リスト!$AE$3:$AE$5,0),
    ROUNDUP(
      CV10*IF(CV10*$I10&lt;=$L10,$J10,$I10)*
      IF($P10=1,
         $S10/12,
         IF(CV$4=1,
            $T10/12,
            IF(CV$4=$P10,
               $U10/12,
               1
      ))),0),
    ROUNDDOWN(
      CV10*IF(CV10*$I10&lt;=$L10,$J10,$I10)*
      IF($P10=1,
         $S10/12,
         IF(CV$4=1,
            $T10/12,
            IF(CV$4=$P10,
               $U10/12,
               1
      ))),0),
    ROUND(
      CV10*IF(CV10*$I10&lt;=$L10,$J10,$I10)*
      IF($P10=1,
         $S10/12,
         IF(CV$4=1,
            $T10/12,
            IF(CV$4=$P10,
               $U10/12,
               1
      ))),0)
))))</f>
        <v>-</v>
      </c>
      <c r="CX10" s="56" t="str">
        <f ca="1">IF($H10=リスト!$AA$4,"-",
   IF($C10="-","-",
     IF(CX$4&gt;$P10,"-",
       IF(CX$4=1,$E10,OFFSET(CX10,0,-2)-OFFSET(CX10,0,-1)
))))</f>
        <v>-</v>
      </c>
      <c r="CY10" s="57" t="str">
        <f>IF($H10=リスト!$AA$4,"-",
 IF($C10="-","-",
  IF(CX$4&gt;$P10,"-",
   CHOOSE(MATCH($H$3,リスト!$AE$3:$AE$5,0),
    ROUNDUP(
      CX10*IF(CX10*$I10&lt;=$L10,$J10,$I10)*
      IF($P10=1,
         $S10/12,
         IF(CX$4=1,
            $T10/12,
            IF(CX$4=$P10,
               $U10/12,
               1
      ))),0),
    ROUNDDOWN(
      CX10*IF(CX10*$I10&lt;=$L10,$J10,$I10)*
      IF($P10=1,
         $S10/12,
         IF(CX$4=1,
            $T10/12,
            IF(CX$4=$P10,
               $U10/12,
               1
      ))),0),
    ROUND(
      CX10*IF(CX10*$I10&lt;=$L10,$J10,$I10)*
      IF($P10=1,
         $S10/12,
         IF(CX$4=1,
            $T10/12,
            IF(CX$4=$P10,
               $U10/12,
               1
      ))),0)
))))</f>
        <v>-</v>
      </c>
      <c r="CZ10" s="56" t="str">
        <f ca="1">IF($H10=リスト!$AA$4,"-",
   IF($C10="-","-",
     IF(CZ$4&gt;$P10,"-",
       IF(CZ$4=1,$E10,OFFSET(CZ10,0,-2)-OFFSET(CZ10,0,-1)
))))</f>
        <v>-</v>
      </c>
      <c r="DA10" s="57" t="str">
        <f>IF($H10=リスト!$AA$4,"-",
 IF($C10="-","-",
  IF(CZ$4&gt;$P10,"-",
   CHOOSE(MATCH($H$3,リスト!$AE$3:$AE$5,0),
    ROUNDUP(
      CZ10*IF(CZ10*$I10&lt;=$L10,$J10,$I10)*
      IF($P10=1,
         $S10/12,
         IF(CZ$4=1,
            $T10/12,
            IF(CZ$4=$P10,
               $U10/12,
               1
      ))),0),
    ROUNDDOWN(
      CZ10*IF(CZ10*$I10&lt;=$L10,$J10,$I10)*
      IF($P10=1,
         $S10/12,
         IF(CZ$4=1,
            $T10/12,
            IF(CZ$4=$P10,
               $U10/12,
               1
      ))),0),
    ROUND(
      CZ10*IF(CZ10*$I10&lt;=$L10,$J10,$I10)*
      IF($P10=1,
         $S10/12,
         IF(CZ$4=1,
            $T10/12,
            IF(CZ$4=$P10,
               $U10/12,
               1
      ))),0)
))))</f>
        <v>-</v>
      </c>
      <c r="DB10" s="56" t="str">
        <f ca="1">IF($H10=リスト!$AA$4,"-",
   IF($C10="-","-",
     IF(DB$4&gt;$P10,"-",
       IF(DB$4=1,$E10,OFFSET(DB10,0,-2)-OFFSET(DB10,0,-1)
))))</f>
        <v>-</v>
      </c>
      <c r="DC10" s="57" t="str">
        <f>IF($H10=リスト!$AA$4,"-",
 IF($C10="-","-",
  IF(DB$4&gt;$P10,"-",
   CHOOSE(MATCH($H$3,リスト!$AE$3:$AE$5,0),
    ROUNDUP(
      DB10*IF(DB10*$I10&lt;=$L10,$J10,$I10)*
      IF($P10=1,
         $S10/12,
         IF(DB$4=1,
            $T10/12,
            IF(DB$4=$P10,
               $U10/12,
               1
      ))),0),
    ROUNDDOWN(
      DB10*IF(DB10*$I10&lt;=$L10,$J10,$I10)*
      IF($P10=1,
         $S10/12,
         IF(DB$4=1,
            $T10/12,
            IF(DB$4=$P10,
               $U10/12,
               1
      ))),0),
    ROUND(
      DB10*IF(DB10*$I10&lt;=$L10,$J10,$I10)*
      IF($P10=1,
         $S10/12,
         IF(DB$4=1,
            $T10/12,
            IF(DB$4=$P10,
               $U10/12,
               1
      ))),0)
))))</f>
        <v>-</v>
      </c>
      <c r="DD10" s="56" t="str">
        <f ca="1">IF($H10=リスト!$AA$4,"-",
   IF($C10="-","-",
     IF(DD$4&gt;$P10,"-",
       IF(DD$4=1,$E10,OFFSET(DD10,0,-2)-OFFSET(DD10,0,-1)
))))</f>
        <v>-</v>
      </c>
      <c r="DE10" s="57" t="str">
        <f>IF($H10=リスト!$AA$4,"-",
 IF($C10="-","-",
  IF(DD$4&gt;$P10,"-",
   CHOOSE(MATCH($H$3,リスト!$AE$3:$AE$5,0),
    ROUNDUP(
      DD10*IF(DD10*$I10&lt;=$L10,$J10,$I10)*
      IF($P10=1,
         $S10/12,
         IF(DD$4=1,
            $T10/12,
            IF(DD$4=$P10,
               $U10/12,
               1
      ))),0),
    ROUNDDOWN(
      DD10*IF(DD10*$I10&lt;=$L10,$J10,$I10)*
      IF($P10=1,
         $S10/12,
         IF(DD$4=1,
            $T10/12,
            IF(DD$4=$P10,
               $U10/12,
               1
      ))),0),
    ROUND(
      DD10*IF(DD10*$I10&lt;=$L10,$J10,$I10)*
      IF($P10=1,
         $S10/12,
         IF(DD$4=1,
            $T10/12,
            IF(DD$4=$P10,
               $U10/12,
               1
      ))),0)
))))</f>
        <v>-</v>
      </c>
      <c r="DF10" s="56" t="str">
        <f ca="1">IF($H10=リスト!$AA$4,"-",
   IF($C10="-","-",
     IF(DF$4&gt;$P10,"-",
       IF(DF$4=1,$E10,OFFSET(DF10,0,-2)-OFFSET(DF10,0,-1)
))))</f>
        <v>-</v>
      </c>
      <c r="DG10" s="57" t="str">
        <f>IF($H10=リスト!$AA$4,"-",
 IF($C10="-","-",
  IF(DF$4&gt;$P10,"-",
   CHOOSE(MATCH($H$3,リスト!$AE$3:$AE$5,0),
    ROUNDUP(
      DF10*IF(DF10*$I10&lt;=$L10,$J10,$I10)*
      IF($P10=1,
         $S10/12,
         IF(DF$4=1,
            $T10/12,
            IF(DF$4=$P10,
               $U10/12,
               1
      ))),0),
    ROUNDDOWN(
      DF10*IF(DF10*$I10&lt;=$L10,$J10,$I10)*
      IF($P10=1,
         $S10/12,
         IF(DF$4=1,
            $T10/12,
            IF(DF$4=$P10,
               $U10/12,
               1
      ))),0),
    ROUND(
      DF10*IF(DF10*$I10&lt;=$L10,$J10,$I10)*
      IF($P10=1,
         $S10/12,
         IF(DF$4=1,
            $T10/12,
            IF(DF$4=$P10,
               $U10/12,
               1
      ))),0)
))))</f>
        <v>-</v>
      </c>
      <c r="DH10" s="56" t="str">
        <f ca="1">IF($H10=リスト!$AA$4,"-",
   IF($C10="-","-",
     IF(DH$4&gt;$P10,"-",
       IF(DH$4=1,$E10,OFFSET(DH10,0,-2)-OFFSET(DH10,0,-1)
))))</f>
        <v>-</v>
      </c>
      <c r="DI10" s="57" t="str">
        <f>IF($H10=リスト!$AA$4,"-",
 IF($C10="-","-",
  IF(DH$4&gt;$P10,"-",
   CHOOSE(MATCH($H$3,リスト!$AE$3:$AE$5,0),
    ROUNDUP(
      DH10*IF(DH10*$I10&lt;=$L10,$J10,$I10)*
      IF($P10=1,
         $S10/12,
         IF(DH$4=1,
            $T10/12,
            IF(DH$4=$P10,
               $U10/12,
               1
      ))),0),
    ROUNDDOWN(
      DH10*IF(DH10*$I10&lt;=$L10,$J10,$I10)*
      IF($P10=1,
         $S10/12,
         IF(DH$4=1,
            $T10/12,
            IF(DH$4=$P10,
               $U10/12,
               1
      ))),0),
    ROUND(
      DH10*IF(DH10*$I10&lt;=$L10,$J10,$I10)*
      IF($P10=1,
         $S10/12,
         IF(DH$4=1,
            $T10/12,
            IF(DH$4=$P10,
               $U10/12,
               1
      ))),0)
))))</f>
        <v>-</v>
      </c>
      <c r="DJ10" s="56" t="str">
        <f ca="1">IF($H10=リスト!$AA$4,"-",
   IF($C10="-","-",
     IF(DJ$4&gt;$P10,"-",
       IF(DJ$4=1,$E10,OFFSET(DJ10,0,-2)-OFFSET(DJ10,0,-1)
))))</f>
        <v>-</v>
      </c>
      <c r="DK10" s="57" t="str">
        <f>IF($H10=リスト!$AA$4,"-",
 IF($C10="-","-",
  IF(DJ$4&gt;$P10,"-",
   CHOOSE(MATCH($H$3,リスト!$AE$3:$AE$5,0),
    ROUNDUP(
      DJ10*IF(DJ10*$I10&lt;=$L10,$J10,$I10)*
      IF($P10=1,
         $S10/12,
         IF(DJ$4=1,
            $T10/12,
            IF(DJ$4=$P10,
               $U10/12,
               1
      ))),0),
    ROUNDDOWN(
      DJ10*IF(DJ10*$I10&lt;=$L10,$J10,$I10)*
      IF($P10=1,
         $S10/12,
         IF(DJ$4=1,
            $T10/12,
            IF(DJ$4=$P10,
               $U10/12,
               1
      ))),0),
    ROUND(
      DJ10*IF(DJ10*$I10&lt;=$L10,$J10,$I10)*
      IF($P10=1,
         $S10/12,
         IF(DJ$4=1,
            $T10/12,
            IF(DJ$4=$P10,
               $U10/12,
               1
      ))),0)
))))</f>
        <v>-</v>
      </c>
      <c r="DL10" s="56" t="str">
        <f ca="1">IF($H10=リスト!$AA$4,"-",
   IF($C10="-","-",
     IF(DL$4&gt;$P10,"-",
       IF(DL$4=1,$E10,OFFSET(DL10,0,-2)-OFFSET(DL10,0,-1)
))))</f>
        <v>-</v>
      </c>
      <c r="DM10" s="57" t="str">
        <f>IF($H10=リスト!$AA$4,"-",
 IF($C10="-","-",
  IF(DL$4&gt;$P10,"-",
   CHOOSE(MATCH($H$3,リスト!$AE$3:$AE$5,0),
    ROUNDUP(
      DL10*IF(DL10*$I10&lt;=$L10,$J10,$I10)*
      IF($P10=1,
         $S10/12,
         IF(DL$4=1,
            $T10/12,
            IF(DL$4=$P10,
               $U10/12,
               1
      ))),0),
    ROUNDDOWN(
      DL10*IF(DL10*$I10&lt;=$L10,$J10,$I10)*
      IF($P10=1,
         $S10/12,
         IF(DL$4=1,
            $T10/12,
            IF(DL$4=$P10,
               $U10/12,
               1
      ))),0),
    ROUND(
      DL10*IF(DL10*$I10&lt;=$L10,$J10,$I10)*
      IF($P10=1,
         $S10/12,
         IF(DL$4=1,
            $T10/12,
            IF(DL$4=$P10,
               $U10/12,
               1
      ))),0)
))))</f>
        <v>-</v>
      </c>
      <c r="DN10" s="56" t="str">
        <f ca="1">IF($H10=リスト!$AA$4,"-",
   IF($C10="-","-",
     IF(DN$4&gt;$P10,"-",
       IF(DN$4=1,$E10,OFFSET(DN10,0,-2)-OFFSET(DN10,0,-1)
))))</f>
        <v>-</v>
      </c>
      <c r="DO10" s="57" t="str">
        <f>IF($H10=リスト!$AA$4,"-",
 IF($C10="-","-",
  IF(DN$4&gt;$P10,"-",
   CHOOSE(MATCH($H$3,リスト!$AE$3:$AE$5,0),
    ROUNDUP(
      DN10*IF(DN10*$I10&lt;=$L10,$J10,$I10)*
      IF($P10=1,
         $S10/12,
         IF(DN$4=1,
            $T10/12,
            IF(DN$4=$P10,
               $U10/12,
               1
      ))),0),
    ROUNDDOWN(
      DN10*IF(DN10*$I10&lt;=$L10,$J10,$I10)*
      IF($P10=1,
         $S10/12,
         IF(DN$4=1,
            $T10/12,
            IF(DN$4=$P10,
               $U10/12,
               1
      ))),0),
    ROUND(
      DN10*IF(DN10*$I10&lt;=$L10,$J10,$I10)*
      IF($P10=1,
         $S10/12,
         IF(DN$4=1,
            $T10/12,
            IF(DN$4=$P10,
               $U10/12,
               1
      ))),0)
))))</f>
        <v>-</v>
      </c>
      <c r="DP10" s="56" t="str">
        <f ca="1">IF($H10=リスト!$AA$4,"-",
   IF($C10="-","-",
     IF(DP$4&gt;$P10,"-",
       IF(DP$4=1,$E10,OFFSET(DP10,0,-2)-OFFSET(DP10,0,-1)
))))</f>
        <v>-</v>
      </c>
      <c r="DQ10" s="57" t="str">
        <f>IF($H10=リスト!$AA$4,"-",
 IF($C10="-","-",
  IF(DP$4&gt;$P10,"-",
   CHOOSE(MATCH($H$3,リスト!$AE$3:$AE$5,0),
    ROUNDUP(
      DP10*IF(DP10*$I10&lt;=$L10,$J10,$I10)*
      IF($P10=1,
         $S10/12,
         IF(DP$4=1,
            $T10/12,
            IF(DP$4=$P10,
               $U10/12,
               1
      ))),0),
    ROUNDDOWN(
      DP10*IF(DP10*$I10&lt;=$L10,$J10,$I10)*
      IF($P10=1,
         $S10/12,
         IF(DP$4=1,
            $T10/12,
            IF(DP$4=$P10,
               $U10/12,
               1
      ))),0),
    ROUND(
      DP10*IF(DP10*$I10&lt;=$L10,$J10,$I10)*
      IF($P10=1,
         $S10/12,
         IF(DP$4=1,
            $T10/12,
            IF(DP$4=$P10,
               $U10/12,
               1
      ))),0)
))))</f>
        <v>-</v>
      </c>
      <c r="DR10" s="56" t="str">
        <f ca="1">IF($H10=リスト!$AA$4,"-",
   IF($C10="-","-",
     IF(DR$4&gt;$P10,"-",
       IF(DR$4=1,$E10,OFFSET(DR10,0,-2)-OFFSET(DR10,0,-1)
))))</f>
        <v>-</v>
      </c>
      <c r="DS10" s="57" t="str">
        <f>IF($H10=リスト!$AA$4,"-",
 IF($C10="-","-",
  IF(DR$4&gt;$P10,"-",
   CHOOSE(MATCH($H$3,リスト!$AE$3:$AE$5,0),
    ROUNDUP(
      DR10*IF(DR10*$I10&lt;=$L10,$J10,$I10)*
      IF($P10=1,
         ($G10-$F10+1)/$Q10,
         IF(DR$4=1,
            ($M10-$F10+1)/$Q10,
            IF(DR$4=$P10,
               ($G10-$O10+1)/$R10,
               1
      ))),0),
    ROUNDDOWN(
      DR10*IF(DR10*$I10&lt;=$L10,$J10,$I10)*
      IF($P10=1,
         ($G10-$F10+1)/$Q10,
         IF(DR$4=1,
            ($M10-$F10+1)/$Q10,
            IF(DR$4=$P10,
               ($G10-$O10+1)/$R10,
               1
      ))),0),
    ROUND(
      DR10*IF(DR10*$I10&lt;=$L10,$J10,$I10)*
      IF($P10=1,
         ($G10-$F10+1)/$Q10,
         IF(DR$4=1,
            ($M10-$F10+1)/$Q10,
            IF(DR$4=$P10,
               ($G10-$O10+1)/$R10,
               1
      ))),0)
))))</f>
        <v>-</v>
      </c>
      <c r="DT10" s="56" t="str" cm="1">
        <f t="array" ref="DT10">IF($H10&lt;&gt;リスト!$AA$3,"-",$E10-SUMPRODUCT(IFERROR($Y10:$DS10*1,0), --(MOD(COLUMN($Y10:$DS10)-COLUMN($Y10),2)=0)))</f>
        <v>-</v>
      </c>
      <c r="DU10" s="56" t="str">
        <f>IF($H10&lt;&gt;リスト!$AA$4,"-",
    IF($H$3=リスト!$AE$3,$E10-ROUNDUP($E10*I10*$W10/12,0),
    IF($H$3=リスト!$AE$4,$E10-ROUNDDOWN($E10*I10*$W10/12,0),
    IF($H$3=リスト!$AE$5,$E10-ROUND($E10*I10*$W10/12,0),
    "-"))))</f>
        <v>-</v>
      </c>
    </row>
    <row r="11" spans="2:125">
      <c r="B11" s="54">
        <v>6</v>
      </c>
      <c r="C11" s="55" t="str">
        <f>IF('財産処分報告(災害)用'!$C11="","-",'財産処分報告(災害)用'!$C11)</f>
        <v>-</v>
      </c>
      <c r="D11" s="55" t="str">
        <f>'財産処分報告(災害)用'!$E11</f>
        <v>-</v>
      </c>
      <c r="E11" s="56" t="str">
        <f>IF('財産処分報告(災害)用'!$J11="","-",'財産処分報告(災害)用'!$J11)</f>
        <v>-</v>
      </c>
      <c r="F11" s="101" t="str">
        <f>IF('財産処分報告(災害)用'!$K11="","-",'財産処分報告(災害)用'!$K11)</f>
        <v>-</v>
      </c>
      <c r="G11" s="101" t="str">
        <f>IF('財産処分報告(災害)用'!$L11="","-",'財産処分報告(災害)用'!$L11)</f>
        <v>-</v>
      </c>
      <c r="H11" s="55" t="str">
        <f>IF('財産処分報告(災害)用'!$M11="","-",'財産処分報告(災害)用'!$M11)</f>
        <v>-</v>
      </c>
      <c r="I11" s="55" t="str">
        <f>IF(OR($D11="-",$H11="-"),"-",INDEX(リスト!$AG$2:$AI$101,MATCH($D11,リスト!$AG$2:$AG$101,0),MATCH($H11,リスト!$AG$2:$AI$2,0)))</f>
        <v>-</v>
      </c>
      <c r="J11" s="55" t="str">
        <f>IF(OR($D11="-",$H11="-"),"-",IF($H11=リスト!$AA$4,"-",INDEX(リスト!$AG$2:$AK$101,MATCH($D11,リスト!$AG$2:$AG$101,0),4)))</f>
        <v>-</v>
      </c>
      <c r="K11" s="55" t="str">
        <f>IF(OR($D11="-",$H11="-"),"-",IF($H11=リスト!$AA$4,"-",INDEX(リスト!$AG$2:$AK$101,MATCH($D11,リスト!$AG$2:$AG$101,0),5)))</f>
        <v>-</v>
      </c>
      <c r="L11" s="55" t="str">
        <f t="shared" si="0"/>
        <v>-</v>
      </c>
      <c r="M11" s="101" t="str">
        <f t="shared" si="1"/>
        <v>-</v>
      </c>
      <c r="N11" s="101" t="str">
        <f t="shared" si="2"/>
        <v>-</v>
      </c>
      <c r="O11" s="101" t="str">
        <f t="shared" si="3"/>
        <v>-</v>
      </c>
      <c r="P11" s="102" t="str">
        <f t="shared" si="4"/>
        <v>-</v>
      </c>
      <c r="Q11" s="115" t="str">
        <f t="shared" si="5"/>
        <v>-</v>
      </c>
      <c r="R11" s="116" t="str">
        <f t="shared" si="6"/>
        <v>-</v>
      </c>
      <c r="S11" s="102" t="str">
        <f t="shared" si="7"/>
        <v>-</v>
      </c>
      <c r="T11" s="102" t="str">
        <f t="shared" si="8"/>
        <v>-</v>
      </c>
      <c r="U11" s="102" t="str">
        <f t="shared" si="9"/>
        <v>-</v>
      </c>
      <c r="V11" s="102" t="str">
        <f t="shared" si="10"/>
        <v>-</v>
      </c>
      <c r="W11" s="55" t="str">
        <f t="shared" si="11"/>
        <v>-</v>
      </c>
      <c r="X11" s="56" t="str">
        <f ca="1">IF($H11=リスト!$AA$4,"-",
   IF($C11="-","-",
     IF(X$4&gt;$P11,"-",
       IF(X$4=1,$E11,OFFSET(X11,0,-2)-OFFSET(X11,0,-1)
))))</f>
        <v>-</v>
      </c>
      <c r="Y11" s="57" t="str">
        <f>IF($H11=リスト!$AA$4,"-",
 IF($C11="-","-",
  IF(X$4&gt;$P11,"-",
   CHOOSE(MATCH($H$3,リスト!$AE$3:$AE$5,0),
    ROUNDUP(
      X11*IF(X11*$I11&lt;=$L11,$J11,$I11)*
      IF($P11=1,
         $S11/12,
         IF(X$4=1,
            $T11/12,
            IF(X$4=$P11,
               $U11/12,
               1
      ))),0),
    ROUNDDOWN(
      X11*IF(X11*$I11&lt;=$L11,$J11,$I11)*
      IF($P11=1,
         $S11/12,
         IF(X$4=1,
            $T11/12,
            IF(X$4=$P11,
               $U11/12,
               1
      ))),0),
    ROUND(
      X11*IF(X11*$I11&lt;=$L11,$J11,$I11)*
      IF($P11=1,
         $S11/12,
         IF(X$4=1,
            $T11/12,
            IF(X$4=$P11,
               $U11/12,
               1
      ))),0)
))))</f>
        <v>-</v>
      </c>
      <c r="Z11" s="56" t="str">
        <f ca="1">IF($H11=リスト!$AA$4,"-",
   IF($C11="-","-",
     IF(Z$4&gt;$P11,"-",
       IF(Z$4=1,$E11,OFFSET(Z11,0,-2)-OFFSET(Z11,0,-1)
))))</f>
        <v>-</v>
      </c>
      <c r="AA11" s="57" t="str">
        <f>IF($H11=リスト!$AA$4,"-",
 IF($C11="-","-",
  IF(Z$4&gt;$P11,"-",
   CHOOSE(MATCH($H$3,リスト!$AE$3:$AE$5,0),
    ROUNDUP(
      Z11*IF(Z11*$I11&lt;=$L11,$J11,$I11)*
      IF($P11=1,
         $S11/12,
         IF(Z$4=1,
            $T11/12,
            IF(Z$4=$P11,
               $U11/12,
               1
      ))),0),
    ROUNDDOWN(
      Z11*IF(Z11*$I11&lt;=$L11,$J11,$I11)*
      IF($P11=1,
         $S11/12,
         IF(Z$4=1,
            $T11/12,
            IF(Z$4=$P11,
               $U11/12,
               1
      ))),0),
    ROUND(
      Z11*IF(Z11*$I11&lt;=$L11,$J11,$I11)*
      IF($P11=1,
         $S11/12,
         IF(Z$4=1,
            $T11/12,
            IF(Z$4=$P11,
               $U11/12,
               1
      ))),0)
))))</f>
        <v>-</v>
      </c>
      <c r="AB11" s="56" t="str">
        <f ca="1">IF($H11=リスト!$AA$4,"-",
   IF($C11="-","-",
     IF(AB$4&gt;$P11,"-",
       IF(AB$4=1,$E11,OFFSET(AB11,0,-2)-OFFSET(AB11,0,-1)
))))</f>
        <v>-</v>
      </c>
      <c r="AC11" s="57" t="str">
        <f>IF($H11=リスト!$AA$4,"-",
 IF($C11="-","-",
  IF(AB$4&gt;$P11,"-",
   CHOOSE(MATCH($H$3,リスト!$AE$3:$AE$5,0),
    ROUNDUP(
      AB11*IF(AB11*$I11&lt;=$L11,$J11,$I11)*
      IF($P11=1,
         $S11/12,
         IF(AB$4=1,
            $T11/12,
            IF(AB$4=$P11,
               $U11/12,
               1
      ))),0),
    ROUNDDOWN(
      AB11*IF(AB11*$I11&lt;=$L11,$J11,$I11)*
      IF($P11=1,
         $S11/12,
         IF(AB$4=1,
            $T11/12,
            IF(AB$4=$P11,
               $U11/12,
               1
      ))),0),
    ROUND(
      AB11*IF(AB11*$I11&lt;=$L11,$J11,$I11)*
      IF($P11=1,
         $S11/12,
         IF(AB$4=1,
            $T11/12,
            IF(AB$4=$P11,
               $U11/12,
               1
      ))),0)
))))</f>
        <v>-</v>
      </c>
      <c r="AD11" s="56" t="str">
        <f ca="1">IF($H11=リスト!$AA$4,"-",
   IF($C11="-","-",
     IF(AD$4&gt;$P11,"-",
       IF(AD$4=1,$E11,OFFSET(AD11,0,-2)-OFFSET(AD11,0,-1)
))))</f>
        <v>-</v>
      </c>
      <c r="AE11" s="57" t="str">
        <f>IF($H11=リスト!$AA$4,"-",
 IF($C11="-","-",
  IF(AD$4&gt;$P11,"-",
   CHOOSE(MATCH($H$3,リスト!$AE$3:$AE$5,0),
    ROUNDUP(
      AD11*IF(AD11*$I11&lt;=$L11,$J11,$I11)*
      IF($P11=1,
         $S11/12,
         IF(AD$4=1,
            $T11/12,
            IF(AD$4=$P11,
               $U11/12,
               1
      ))),0),
    ROUNDDOWN(
      AD11*IF(AD11*$I11&lt;=$L11,$J11,$I11)*
      IF($P11=1,
         $S11/12,
         IF(AD$4=1,
            $T11/12,
            IF(AD$4=$P11,
               $U11/12,
               1
      ))),0),
    ROUND(
      AD11*IF(AD11*$I11&lt;=$L11,$J11,$I11)*
      IF($P11=1,
         $S11/12,
         IF(AD$4=1,
            $T11/12,
            IF(AD$4=$P11,
               $U11/12,
               1
      ))),0)
))))</f>
        <v>-</v>
      </c>
      <c r="AF11" s="56" t="str">
        <f ca="1">IF($H11=リスト!$AA$4,"-",
   IF($C11="-","-",
     IF(AF$4&gt;$P11,"-",
       IF(AF$4=1,$E11,OFFSET(AF11,0,-2)-OFFSET(AF11,0,-1)
))))</f>
        <v>-</v>
      </c>
      <c r="AG11" s="57" t="str">
        <f>IF($H11=リスト!$AA$4,"-",
 IF($C11="-","-",
  IF(AF$4&gt;$P11,"-",
   CHOOSE(MATCH($H$3,リスト!$AE$3:$AE$5,0),
    ROUNDUP(
      AF11*IF(AF11*$I11&lt;=$L11,$J11,$I11)*
      IF($P11=1,
         $S11/12,
         IF(AF$4=1,
            $T11/12,
            IF(AF$4=$P11,
               $U11/12,
               1
      ))),0),
    ROUNDDOWN(
      AF11*IF(AF11*$I11&lt;=$L11,$J11,$I11)*
      IF($P11=1,
         $S11/12,
         IF(AF$4=1,
            $T11/12,
            IF(AF$4=$P11,
               $U11/12,
               1
      ))),0),
    ROUND(
      AF11*IF(AF11*$I11&lt;=$L11,$J11,$I11)*
      IF($P11=1,
         $S11/12,
         IF(AF$4=1,
            $T11/12,
            IF(AF$4=$P11,
               $U11/12,
               1
      ))),0)
))))</f>
        <v>-</v>
      </c>
      <c r="AH11" s="56" t="str">
        <f ca="1">IF($H11=リスト!$AA$4,"-",
   IF($C11="-","-",
     IF(AH$4&gt;$P11,"-",
       IF(AH$4=1,$E11,OFFSET(AH11,0,-2)-OFFSET(AH11,0,-1)
))))</f>
        <v>-</v>
      </c>
      <c r="AI11" s="57" t="str">
        <f>IF($H11=リスト!$AA$4,"-",
 IF($C11="-","-",
  IF(AH$4&gt;$P11,"-",
   CHOOSE(MATCH($H$3,リスト!$AE$3:$AE$5,0),
    ROUNDUP(
      AH11*IF(AH11*$I11&lt;=$L11,$J11,$I11)*
      IF($P11=1,
         $S11/12,
         IF(AH$4=1,
            $T11/12,
            IF(AH$4=$P11,
               $U11/12,
               1
      ))),0),
    ROUNDDOWN(
      AH11*IF(AH11*$I11&lt;=$L11,$J11,$I11)*
      IF($P11=1,
         $S11/12,
         IF(AH$4=1,
            $T11/12,
            IF(AH$4=$P11,
               $U11/12,
               1
      ))),0),
    ROUND(
      AH11*IF(AH11*$I11&lt;=$L11,$J11,$I11)*
      IF($P11=1,
         $S11/12,
         IF(AH$4=1,
            $T11/12,
            IF(AH$4=$P11,
               $U11/12,
               1
      ))),0)
))))</f>
        <v>-</v>
      </c>
      <c r="AJ11" s="56" t="str">
        <f ca="1">IF($H11=リスト!$AA$4,"-",
   IF($C11="-","-",
     IF(AJ$4&gt;$P11,"-",
       IF(AJ$4=1,$E11,OFFSET(AJ11,0,-2)-OFFSET(AJ11,0,-1)
))))</f>
        <v>-</v>
      </c>
      <c r="AK11" s="57" t="str">
        <f>IF($H11=リスト!$AA$4,"-",
 IF($C11="-","-",
  IF(AJ$4&gt;$P11,"-",
   CHOOSE(MATCH($H$3,リスト!$AE$3:$AE$5,0),
    ROUNDUP(
      AJ11*IF(AJ11*$I11&lt;=$L11,$J11,$I11)*
      IF($P11=1,
         $S11/12,
         IF(AJ$4=1,
            $T11/12,
            IF(AJ$4=$P11,
               $U11/12,
               1
      ))),0),
    ROUNDDOWN(
      AJ11*IF(AJ11*$I11&lt;=$L11,$J11,$I11)*
      IF($P11=1,
         $S11/12,
         IF(AJ$4=1,
            $T11/12,
            IF(AJ$4=$P11,
               $U11/12,
               1
      ))),0),
    ROUND(
      AJ11*IF(AJ11*$I11&lt;=$L11,$J11,$I11)*
      IF($P11=1,
         $S11/12,
         IF(AJ$4=1,
            $T11/12,
            IF(AJ$4=$P11,
               $U11/12,
               1
      ))),0)
))))</f>
        <v>-</v>
      </c>
      <c r="AL11" s="56" t="str">
        <f ca="1">IF($H11=リスト!$AA$4,"-",
   IF($C11="-","-",
     IF(AL$4&gt;$P11,"-",
       IF(AL$4=1,$E11,OFFSET(AL11,0,-2)-OFFSET(AL11,0,-1)
))))</f>
        <v>-</v>
      </c>
      <c r="AM11" s="57" t="str">
        <f>IF($H11=リスト!$AA$4,"-",
 IF($C11="-","-",
  IF(AL$4&gt;$P11,"-",
   CHOOSE(MATCH($H$3,リスト!$AE$3:$AE$5,0),
    ROUNDUP(
      AL11*IF(AL11*$I11&lt;=$L11,$J11,$I11)*
      IF($P11=1,
         $S11/12,
         IF(AL$4=1,
            $T11/12,
            IF(AL$4=$P11,
               $U11/12,
               1
      ))),0),
    ROUNDDOWN(
      AL11*IF(AL11*$I11&lt;=$L11,$J11,$I11)*
      IF($P11=1,
         $S11/12,
         IF(AL$4=1,
            $T11/12,
            IF(AL$4=$P11,
               $U11/12,
               1
      ))),0),
    ROUND(
      AL11*IF(AL11*$I11&lt;=$L11,$J11,$I11)*
      IF($P11=1,
         $S11/12,
         IF(AL$4=1,
            $T11/12,
            IF(AL$4=$P11,
               $U11/12,
               1
      ))),0)
))))</f>
        <v>-</v>
      </c>
      <c r="AN11" s="56" t="str">
        <f ca="1">IF($H11=リスト!$AA$4,"-",
   IF($C11="-","-",
     IF(AN$4&gt;$P11,"-",
       IF(AN$4=1,$E11,OFFSET(AN11,0,-2)-OFFSET(AN11,0,-1)
))))</f>
        <v>-</v>
      </c>
      <c r="AO11" s="57" t="str">
        <f>IF($H11=リスト!$AA$4,"-",
 IF($C11="-","-",
  IF(AN$4&gt;$P11,"-",
   CHOOSE(MATCH($H$3,リスト!$AE$3:$AE$5,0),
    ROUNDUP(
      AN11*IF(AN11*$I11&lt;=$L11,$J11,$I11)*
      IF($P11=1,
         $S11/12,
         IF(AN$4=1,
            $T11/12,
            IF(AN$4=$P11,
               $U11/12,
               1
      ))),0),
    ROUNDDOWN(
      AN11*IF(AN11*$I11&lt;=$L11,$J11,$I11)*
      IF($P11=1,
         $S11/12,
         IF(AN$4=1,
            $T11/12,
            IF(AN$4=$P11,
               $U11/12,
               1
      ))),0),
    ROUND(
      AN11*IF(AN11*$I11&lt;=$L11,$J11,$I11)*
      IF($P11=1,
         $S11/12,
         IF(AN$4=1,
            $T11/12,
            IF(AN$4=$P11,
               $U11/12,
               1
      ))),0)
))))</f>
        <v>-</v>
      </c>
      <c r="AP11" s="56" t="str">
        <f ca="1">IF($H11=リスト!$AA$4,"-",
   IF($C11="-","-",
     IF(AP$4&gt;$P11,"-",
       IF(AP$4=1,$E11,OFFSET(AP11,0,-2)-OFFSET(AP11,0,-1)
))))</f>
        <v>-</v>
      </c>
      <c r="AQ11" s="57" t="str">
        <f>IF($H11=リスト!$AA$4,"-",
 IF($C11="-","-",
  IF(AP$4&gt;$P11,"-",
   CHOOSE(MATCH($H$3,リスト!$AE$3:$AE$5,0),
    ROUNDUP(
      AP11*IF(AP11*$I11&lt;=$L11,$J11,$I11)*
      IF($P11=1,
         $S11/12,
         IF(AP$4=1,
            $T11/12,
            IF(AP$4=$P11,
               $U11/12,
               1
      ))),0),
    ROUNDDOWN(
      AP11*IF(AP11*$I11&lt;=$L11,$J11,$I11)*
      IF($P11=1,
         $S11/12,
         IF(AP$4=1,
            $T11/12,
            IF(AP$4=$P11,
               $U11/12,
               1
      ))),0),
    ROUND(
      AP11*IF(AP11*$I11&lt;=$L11,$J11,$I11)*
      IF($P11=1,
         $S11/12,
         IF(AP$4=1,
            $T11/12,
            IF(AP$4=$P11,
               $U11/12,
               1
      ))),0)
))))</f>
        <v>-</v>
      </c>
      <c r="AR11" s="56" t="str">
        <f ca="1">IF($H11=リスト!$AA$4,"-",
   IF($C11="-","-",
     IF(AR$4&gt;$P11,"-",
       IF(AR$4=1,$E11,OFFSET(AR11,0,-2)-OFFSET(AR11,0,-1)
))))</f>
        <v>-</v>
      </c>
      <c r="AS11" s="57" t="str">
        <f>IF($H11=リスト!$AA$4,"-",
 IF($C11="-","-",
  IF(AR$4&gt;$P11,"-",
   CHOOSE(MATCH($H$3,リスト!$AE$3:$AE$5,0),
    ROUNDUP(
      AR11*IF(AR11*$I11&lt;=$L11,$J11,$I11)*
      IF($P11=1,
         $S11/12,
         IF(AR$4=1,
            $T11/12,
            IF(AR$4=$P11,
               $U11/12,
               1
      ))),0),
    ROUNDDOWN(
      AR11*IF(AR11*$I11&lt;=$L11,$J11,$I11)*
      IF($P11=1,
         $S11/12,
         IF(AR$4=1,
            $T11/12,
            IF(AR$4=$P11,
               $U11/12,
               1
      ))),0),
    ROUND(
      AR11*IF(AR11*$I11&lt;=$L11,$J11,$I11)*
      IF($P11=1,
         $S11/12,
         IF(AR$4=1,
            $T11/12,
            IF(AR$4=$P11,
               $U11/12,
               1
      ))),0)
))))</f>
        <v>-</v>
      </c>
      <c r="AT11" s="56" t="str">
        <f ca="1">IF($H11=リスト!$AA$4,"-",
   IF($C11="-","-",
     IF(AT$4&gt;$P11,"-",
       IF(AT$4=1,$E11,OFFSET(AT11,0,-2)-OFFSET(AT11,0,-1)
))))</f>
        <v>-</v>
      </c>
      <c r="AU11" s="57" t="str">
        <f>IF($H11=リスト!$AA$4,"-",
 IF($C11="-","-",
  IF(AT$4&gt;$P11,"-",
   CHOOSE(MATCH($H$3,リスト!$AE$3:$AE$5,0),
    ROUNDUP(
      AT11*IF(AT11*$I11&lt;=$L11,$J11,$I11)*
      IF($P11=1,
         $S11/12,
         IF(AT$4=1,
            $T11/12,
            IF(AT$4=$P11,
               $U11/12,
               1
      ))),0),
    ROUNDDOWN(
      AT11*IF(AT11*$I11&lt;=$L11,$J11,$I11)*
      IF($P11=1,
         $S11/12,
         IF(AT$4=1,
            $T11/12,
            IF(AT$4=$P11,
               $U11/12,
               1
      ))),0),
    ROUND(
      AT11*IF(AT11*$I11&lt;=$L11,$J11,$I11)*
      IF($P11=1,
         $S11/12,
         IF(AT$4=1,
            $T11/12,
            IF(AT$4=$P11,
               $U11/12,
               1
      ))),0)
))))</f>
        <v>-</v>
      </c>
      <c r="AV11" s="56" t="str">
        <f ca="1">IF($H11=リスト!$AA$4,"-",
   IF($C11="-","-",
     IF(AV$4&gt;$P11,"-",
       IF(AV$4=1,$E11,OFFSET(AV11,0,-2)-OFFSET(AV11,0,-1)
))))</f>
        <v>-</v>
      </c>
      <c r="AW11" s="57" t="str">
        <f>IF($H11=リスト!$AA$4,"-",
 IF($C11="-","-",
  IF(AV$4&gt;$P11,"-",
   CHOOSE(MATCH($H$3,リスト!$AE$3:$AE$5,0),
    ROUNDUP(
      AV11*IF(AV11*$I11&lt;=$L11,$J11,$I11)*
      IF($P11=1,
         $S11/12,
         IF(AV$4=1,
            $T11/12,
            IF(AV$4=$P11,
               $U11/12,
               1
      ))),0),
    ROUNDDOWN(
      AV11*IF(AV11*$I11&lt;=$L11,$J11,$I11)*
      IF($P11=1,
         $S11/12,
         IF(AV$4=1,
            $T11/12,
            IF(AV$4=$P11,
               $U11/12,
               1
      ))),0),
    ROUND(
      AV11*IF(AV11*$I11&lt;=$L11,$J11,$I11)*
      IF($P11=1,
         $S11/12,
         IF(AV$4=1,
            $T11/12,
            IF(AV$4=$P11,
               $U11/12,
               1
      ))),0)
))))</f>
        <v>-</v>
      </c>
      <c r="AX11" s="56" t="str">
        <f ca="1">IF($H11=リスト!$AA$4,"-",
   IF($C11="-","-",
     IF(AX$4&gt;$P11,"-",
       IF(AX$4=1,$E11,OFFSET(AX11,0,-2)-OFFSET(AX11,0,-1)
))))</f>
        <v>-</v>
      </c>
      <c r="AY11" s="57" t="str">
        <f>IF($H11=リスト!$AA$4,"-",
 IF($C11="-","-",
  IF(AX$4&gt;$P11,"-",
   CHOOSE(MATCH($H$3,リスト!$AE$3:$AE$5,0),
    ROUNDUP(
      AX11*IF(AX11*$I11&lt;=$L11,$J11,$I11)*
      IF($P11=1,
         $S11/12,
         IF(AX$4=1,
            $T11/12,
            IF(AX$4=$P11,
               $U11/12,
               1
      ))),0),
    ROUNDDOWN(
      AX11*IF(AX11*$I11&lt;=$L11,$J11,$I11)*
      IF($P11=1,
         $S11/12,
         IF(AX$4=1,
            $T11/12,
            IF(AX$4=$P11,
               $U11/12,
               1
      ))),0),
    ROUND(
      AX11*IF(AX11*$I11&lt;=$L11,$J11,$I11)*
      IF($P11=1,
         $S11/12,
         IF(AX$4=1,
            $T11/12,
            IF(AX$4=$P11,
               $U11/12,
               1
      ))),0)
))))</f>
        <v>-</v>
      </c>
      <c r="AZ11" s="56" t="str">
        <f ca="1">IF($H11=リスト!$AA$4,"-",
   IF($C11="-","-",
     IF(AZ$4&gt;$P11,"-",
       IF(AZ$4=1,$E11,OFFSET(AZ11,0,-2)-OFFSET(AZ11,0,-1)
))))</f>
        <v>-</v>
      </c>
      <c r="BA11" s="57" t="str">
        <f>IF($H11=リスト!$AA$4,"-",
 IF($C11="-","-",
  IF(AZ$4&gt;$P11,"-",
   CHOOSE(MATCH($H$3,リスト!$AE$3:$AE$5,0),
    ROUNDUP(
      AZ11*IF(AZ11*$I11&lt;=$L11,$J11,$I11)*
      IF($P11=1,
         $S11/12,
         IF(AZ$4=1,
            $T11/12,
            IF(AZ$4=$P11,
               $U11/12,
               1
      ))),0),
    ROUNDDOWN(
      AZ11*IF(AZ11*$I11&lt;=$L11,$J11,$I11)*
      IF($P11=1,
         $S11/12,
         IF(AZ$4=1,
            $T11/12,
            IF(AZ$4=$P11,
               $U11/12,
               1
      ))),0),
    ROUND(
      AZ11*IF(AZ11*$I11&lt;=$L11,$J11,$I11)*
      IF($P11=1,
         $S11/12,
         IF(AZ$4=1,
            $T11/12,
            IF(AZ$4=$P11,
               $U11/12,
               1
      ))),0)
))))</f>
        <v>-</v>
      </c>
      <c r="BB11" s="56" t="str">
        <f ca="1">IF($H11=リスト!$AA$4,"-",
   IF($C11="-","-",
     IF(BB$4&gt;$P11,"-",
       IF(BB$4=1,$E11,OFFSET(BB11,0,-2)-OFFSET(BB11,0,-1)
))))</f>
        <v>-</v>
      </c>
      <c r="BC11" s="57" t="str">
        <f>IF($H11=リスト!$AA$4,"-",
 IF($C11="-","-",
  IF(BB$4&gt;$P11,"-",
   CHOOSE(MATCH($H$3,リスト!$AE$3:$AE$5,0),
    ROUNDUP(
      BB11*IF(BB11*$I11&lt;=$L11,$J11,$I11)*
      IF($P11=1,
         $S11/12,
         IF(BB$4=1,
            $T11/12,
            IF(BB$4=$P11,
               $U11/12,
               1
      ))),0),
    ROUNDDOWN(
      BB11*IF(BB11*$I11&lt;=$L11,$J11,$I11)*
      IF($P11=1,
         $S11/12,
         IF(BB$4=1,
            $T11/12,
            IF(BB$4=$P11,
               $U11/12,
               1
      ))),0),
    ROUND(
      BB11*IF(BB11*$I11&lt;=$L11,$J11,$I11)*
      IF($P11=1,
         $S11/12,
         IF(BB$4=1,
            $T11/12,
            IF(BB$4=$P11,
               $U11/12,
               1
      ))),0)
))))</f>
        <v>-</v>
      </c>
      <c r="BD11" s="56" t="str">
        <f ca="1">IF($H11=リスト!$AA$4,"-",
   IF($C11="-","-",
     IF(BD$4&gt;$P11,"-",
       IF(BD$4=1,$E11,OFFSET(BD11,0,-2)-OFFSET(BD11,0,-1)
))))</f>
        <v>-</v>
      </c>
      <c r="BE11" s="57" t="str">
        <f>IF($H11=リスト!$AA$4,"-",
 IF($C11="-","-",
  IF(BD$4&gt;$P11,"-",
   CHOOSE(MATCH($H$3,リスト!$AE$3:$AE$5,0),
    ROUNDUP(
      BD11*IF(BD11*$I11&lt;=$L11,$J11,$I11)*
      IF($P11=1,
         $S11/12,
         IF(BD$4=1,
            $T11/12,
            IF(BD$4=$P11,
               $U11/12,
               1
      ))),0),
    ROUNDDOWN(
      BD11*IF(BD11*$I11&lt;=$L11,$J11,$I11)*
      IF($P11=1,
         $S11/12,
         IF(BD$4=1,
            $T11/12,
            IF(BD$4=$P11,
               $U11/12,
               1
      ))),0),
    ROUND(
      BD11*IF(BD11*$I11&lt;=$L11,$J11,$I11)*
      IF($P11=1,
         $S11/12,
         IF(BD$4=1,
            $T11/12,
            IF(BD$4=$P11,
               $U11/12,
               1
      ))),0)
))))</f>
        <v>-</v>
      </c>
      <c r="BF11" s="56" t="str">
        <f ca="1">IF($H11=リスト!$AA$4,"-",
   IF($C11="-","-",
     IF(BF$4&gt;$P11,"-",
       IF(BF$4=1,$E11,OFFSET(BF11,0,-2)-OFFSET(BF11,0,-1)
))))</f>
        <v>-</v>
      </c>
      <c r="BG11" s="57" t="str">
        <f>IF($H11=リスト!$AA$4,"-",
 IF($C11="-","-",
  IF(BF$4&gt;$P11,"-",
   CHOOSE(MATCH($H$3,リスト!$AE$3:$AE$5,0),
    ROUNDUP(
      BF11*IF(BF11*$I11&lt;=$L11,$J11,$I11)*
      IF($P11=1,
         $S11/12,
         IF(BF$4=1,
            $T11/12,
            IF(BF$4=$P11,
               $U11/12,
               1
      ))),0),
    ROUNDDOWN(
      BF11*IF(BF11*$I11&lt;=$L11,$J11,$I11)*
      IF($P11=1,
         $S11/12,
         IF(BF$4=1,
            $T11/12,
            IF(BF$4=$P11,
               $U11/12,
               1
      ))),0),
    ROUND(
      BF11*IF(BF11*$I11&lt;=$L11,$J11,$I11)*
      IF($P11=1,
         $S11/12,
         IF(BF$4=1,
            $T11/12,
            IF(BF$4=$P11,
               $U11/12,
               1
      ))),0)
))))</f>
        <v>-</v>
      </c>
      <c r="BH11" s="56" t="str">
        <f ca="1">IF($H11=リスト!$AA$4,"-",
   IF($C11="-","-",
     IF(BH$4&gt;$P11,"-",
       IF(BH$4=1,$E11,OFFSET(BH11,0,-2)-OFFSET(BH11,0,-1)
))))</f>
        <v>-</v>
      </c>
      <c r="BI11" s="57" t="str">
        <f>IF($H11=リスト!$AA$4,"-",
 IF($C11="-","-",
  IF(BH$4&gt;$P11,"-",
   CHOOSE(MATCH($H$3,リスト!$AE$3:$AE$5,0),
    ROUNDUP(
      BH11*IF(BH11*$I11&lt;=$L11,$J11,$I11)*
      IF($P11=1,
         $S11/12,
         IF(BH$4=1,
            $T11/12,
            IF(BH$4=$P11,
               $U11/12,
               1
      ))),0),
    ROUNDDOWN(
      BH11*IF(BH11*$I11&lt;=$L11,$J11,$I11)*
      IF($P11=1,
         $S11/12,
         IF(BH$4=1,
            $T11/12,
            IF(BH$4=$P11,
               $U11/12,
               1
      ))),0),
    ROUND(
      BH11*IF(BH11*$I11&lt;=$L11,$J11,$I11)*
      IF($P11=1,
         $S11/12,
         IF(BH$4=1,
            $T11/12,
            IF(BH$4=$P11,
               $U11/12,
               1
      ))),0)
))))</f>
        <v>-</v>
      </c>
      <c r="BJ11" s="56" t="str">
        <f ca="1">IF($H11=リスト!$AA$4,"-",
   IF($C11="-","-",
     IF(BJ$4&gt;$P11,"-",
       IF(BJ$4=1,$E11,OFFSET(BJ11,0,-2)-OFFSET(BJ11,0,-1)
))))</f>
        <v>-</v>
      </c>
      <c r="BK11" s="57" t="str">
        <f>IF($H11=リスト!$AA$4,"-",
 IF($C11="-","-",
  IF(BJ$4&gt;$P11,"-",
   CHOOSE(MATCH($H$3,リスト!$AE$3:$AE$5,0),
    ROUNDUP(
      BJ11*IF(BJ11*$I11&lt;=$L11,$J11,$I11)*
      IF($P11=1,
         $S11/12,
         IF(BJ$4=1,
            $T11/12,
            IF(BJ$4=$P11,
               $U11/12,
               1
      ))),0),
    ROUNDDOWN(
      BJ11*IF(BJ11*$I11&lt;=$L11,$J11,$I11)*
      IF($P11=1,
         $S11/12,
         IF(BJ$4=1,
            $T11/12,
            IF(BJ$4=$P11,
               $U11/12,
               1
      ))),0),
    ROUND(
      BJ11*IF(BJ11*$I11&lt;=$L11,$J11,$I11)*
      IF($P11=1,
         $S11/12,
         IF(BJ$4=1,
            $T11/12,
            IF(BJ$4=$P11,
               $U11/12,
               1
      ))),0)
))))</f>
        <v>-</v>
      </c>
      <c r="BL11" s="56" t="str">
        <f ca="1">IF($H11=リスト!$AA$4,"-",
   IF($C11="-","-",
     IF(BL$4&gt;$P11,"-",
       IF(BL$4=1,$E11,OFFSET(BL11,0,-2)-OFFSET(BL11,0,-1)
))))</f>
        <v>-</v>
      </c>
      <c r="BM11" s="57" t="str">
        <f>IF($H11=リスト!$AA$4,"-",
 IF($C11="-","-",
  IF(BL$4&gt;$P11,"-",
   CHOOSE(MATCH($H$3,リスト!$AE$3:$AE$5,0),
    ROUNDUP(
      BL11*IF(BL11*$I11&lt;=$L11,$J11,$I11)*
      IF($P11=1,
         $S11/12,
         IF(BL$4=1,
            $T11/12,
            IF(BL$4=$P11,
               $U11/12,
               1
      ))),0),
    ROUNDDOWN(
      BL11*IF(BL11*$I11&lt;=$L11,$J11,$I11)*
      IF($P11=1,
         $S11/12,
         IF(BL$4=1,
            $T11/12,
            IF(BL$4=$P11,
               $U11/12,
               1
      ))),0),
    ROUND(
      BL11*IF(BL11*$I11&lt;=$L11,$J11,$I11)*
      IF($P11=1,
         $S11/12,
         IF(BL$4=1,
            $T11/12,
            IF(BL$4=$P11,
               $U11/12,
               1
      ))),0)
))))</f>
        <v>-</v>
      </c>
      <c r="BN11" s="56" t="str">
        <f ca="1">IF($H11=リスト!$AA$4,"-",
   IF($C11="-","-",
     IF(BN$4&gt;$P11,"-",
       IF(BN$4=1,$E11,OFFSET(BN11,0,-2)-OFFSET(BN11,0,-1)
))))</f>
        <v>-</v>
      </c>
      <c r="BO11" s="57" t="str">
        <f>IF($H11=リスト!$AA$4,"-",
 IF($C11="-","-",
  IF(BN$4&gt;$P11,"-",
   CHOOSE(MATCH($H$3,リスト!$AE$3:$AE$5,0),
    ROUNDUP(
      BN11*IF(BN11*$I11&lt;=$L11,$J11,$I11)*
      IF($P11=1,
         $S11/12,
         IF(BN$4=1,
            $T11/12,
            IF(BN$4=$P11,
               $U11/12,
               1
      ))),0),
    ROUNDDOWN(
      BN11*IF(BN11*$I11&lt;=$L11,$J11,$I11)*
      IF($P11=1,
         $S11/12,
         IF(BN$4=1,
            $T11/12,
            IF(BN$4=$P11,
               $U11/12,
               1
      ))),0),
    ROUND(
      BN11*IF(BN11*$I11&lt;=$L11,$J11,$I11)*
      IF($P11=1,
         $S11/12,
         IF(BN$4=1,
            $T11/12,
            IF(BN$4=$P11,
               $U11/12,
               1
      ))),0)
))))</f>
        <v>-</v>
      </c>
      <c r="BP11" s="56" t="str">
        <f ca="1">IF($H11=リスト!$AA$4,"-",
   IF($C11="-","-",
     IF(BP$4&gt;$P11,"-",
       IF(BP$4=1,$E11,OFFSET(BP11,0,-2)-OFFSET(BP11,0,-1)
))))</f>
        <v>-</v>
      </c>
      <c r="BQ11" s="57" t="str">
        <f>IF($H11=リスト!$AA$4,"-",
 IF($C11="-","-",
  IF(BP$4&gt;$P11,"-",
   CHOOSE(MATCH($H$3,リスト!$AE$3:$AE$5,0),
    ROUNDUP(
      BP11*IF(BP11*$I11&lt;=$L11,$J11,$I11)*
      IF($P11=1,
         $S11/12,
         IF(BP$4=1,
            $T11/12,
            IF(BP$4=$P11,
               $U11/12,
               1
      ))),0),
    ROUNDDOWN(
      BP11*IF(BP11*$I11&lt;=$L11,$J11,$I11)*
      IF($P11=1,
         $S11/12,
         IF(BP$4=1,
            $T11/12,
            IF(BP$4=$P11,
               $U11/12,
               1
      ))),0),
    ROUND(
      BP11*IF(BP11*$I11&lt;=$L11,$J11,$I11)*
      IF($P11=1,
         $S11/12,
         IF(BP$4=1,
            $T11/12,
            IF(BP$4=$P11,
               $U11/12,
               1
      ))),0)
))))</f>
        <v>-</v>
      </c>
      <c r="BR11" s="56" t="str">
        <f ca="1">IF($H11=リスト!$AA$4,"-",
   IF($C11="-","-",
     IF(BR$4&gt;$P11,"-",
       IF(BR$4=1,$E11,OFFSET(BR11,0,-2)-OFFSET(BR11,0,-1)
))))</f>
        <v>-</v>
      </c>
      <c r="BS11" s="57" t="str">
        <f>IF($H11=リスト!$AA$4,"-",
 IF($C11="-","-",
  IF(BR$4&gt;$P11,"-",
   CHOOSE(MATCH($H$3,リスト!$AE$3:$AE$5,0),
    ROUNDUP(
      BR11*IF(BR11*$I11&lt;=$L11,$J11,$I11)*
      IF($P11=1,
         $S11/12,
         IF(BR$4=1,
            $T11/12,
            IF(BR$4=$P11,
               $U11/12,
               1
      ))),0),
    ROUNDDOWN(
      BR11*IF(BR11*$I11&lt;=$L11,$J11,$I11)*
      IF($P11=1,
         $S11/12,
         IF(BR$4=1,
            $T11/12,
            IF(BR$4=$P11,
               $U11/12,
               1
      ))),0),
    ROUND(
      BR11*IF(BR11*$I11&lt;=$L11,$J11,$I11)*
      IF($P11=1,
         $S11/12,
         IF(BR$4=1,
            $T11/12,
            IF(BR$4=$P11,
               $U11/12,
               1
      ))),0)
))))</f>
        <v>-</v>
      </c>
      <c r="BT11" s="56" t="str">
        <f ca="1">IF($H11=リスト!$AA$4,"-",
   IF($C11="-","-",
     IF(BT$4&gt;$P11,"-",
       IF(BT$4=1,$E11,OFFSET(BT11,0,-2)-OFFSET(BT11,0,-1)
))))</f>
        <v>-</v>
      </c>
      <c r="BU11" s="57" t="str">
        <f>IF($H11=リスト!$AA$4,"-",
 IF($C11="-","-",
  IF(BT$4&gt;$P11,"-",
   CHOOSE(MATCH($H$3,リスト!$AE$3:$AE$5,0),
    ROUNDUP(
      BT11*IF(BT11*$I11&lt;=$L11,$J11,$I11)*
      IF($P11=1,
         $S11/12,
         IF(BT$4=1,
            $T11/12,
            IF(BT$4=$P11,
               $U11/12,
               1
      ))),0),
    ROUNDDOWN(
      BT11*IF(BT11*$I11&lt;=$L11,$J11,$I11)*
      IF($P11=1,
         $S11/12,
         IF(BT$4=1,
            $T11/12,
            IF(BT$4=$P11,
               $U11/12,
               1
      ))),0),
    ROUND(
      BT11*IF(BT11*$I11&lt;=$L11,$J11,$I11)*
      IF($P11=1,
         $S11/12,
         IF(BT$4=1,
            $T11/12,
            IF(BT$4=$P11,
               $U11/12,
               1
      ))),0)
))))</f>
        <v>-</v>
      </c>
      <c r="BV11" s="56" t="str">
        <f ca="1">IF($H11=リスト!$AA$4,"-",
   IF($C11="-","-",
     IF(BV$4&gt;$P11,"-",
       IF(BV$4=1,$E11,OFFSET(BV11,0,-2)-OFFSET(BV11,0,-1)
))))</f>
        <v>-</v>
      </c>
      <c r="BW11" s="57" t="str">
        <f>IF($H11=リスト!$AA$4,"-",
 IF($C11="-","-",
  IF(BV$4&gt;$P11,"-",
   CHOOSE(MATCH($H$3,リスト!$AE$3:$AE$5,0),
    ROUNDUP(
      BV11*IF(BV11*$I11&lt;=$L11,$J11,$I11)*
      IF($P11=1,
         $S11/12,
         IF(BV$4=1,
            $T11/12,
            IF(BV$4=$P11,
               $U11/12,
               1
      ))),0),
    ROUNDDOWN(
      BV11*IF(BV11*$I11&lt;=$L11,$J11,$I11)*
      IF($P11=1,
         $S11/12,
         IF(BV$4=1,
            $T11/12,
            IF(BV$4=$P11,
               $U11/12,
               1
      ))),0),
    ROUND(
      BV11*IF(BV11*$I11&lt;=$L11,$J11,$I11)*
      IF($P11=1,
         $S11/12,
         IF(BV$4=1,
            $T11/12,
            IF(BV$4=$P11,
               $U11/12,
               1
      ))),0)
))))</f>
        <v>-</v>
      </c>
      <c r="BX11" s="56" t="str">
        <f ca="1">IF($H11=リスト!$AA$4,"-",
   IF($C11="-","-",
     IF(BX$4&gt;$P11,"-",
       IF(BX$4=1,$E11,OFFSET(BX11,0,-2)-OFFSET(BX11,0,-1)
))))</f>
        <v>-</v>
      </c>
      <c r="BY11" s="57" t="str">
        <f>IF($H11=リスト!$AA$4,"-",
 IF($C11="-","-",
  IF(BX$4&gt;$P11,"-",
   CHOOSE(MATCH($H$3,リスト!$AE$3:$AE$5,0),
    ROUNDUP(
      BX11*IF(BX11*$I11&lt;=$L11,$J11,$I11)*
      IF($P11=1,
         $S11/12,
         IF(BX$4=1,
            $T11/12,
            IF(BX$4=$P11,
               $U11/12,
               1
      ))),0),
    ROUNDDOWN(
      BX11*IF(BX11*$I11&lt;=$L11,$J11,$I11)*
      IF($P11=1,
         $S11/12,
         IF(BX$4=1,
            $T11/12,
            IF(BX$4=$P11,
               $U11/12,
               1
      ))),0),
    ROUND(
      BX11*IF(BX11*$I11&lt;=$L11,$J11,$I11)*
      IF($P11=1,
         $S11/12,
         IF(BX$4=1,
            $T11/12,
            IF(BX$4=$P11,
               $U11/12,
               1
      ))),0)
))))</f>
        <v>-</v>
      </c>
      <c r="BZ11" s="56" t="str">
        <f ca="1">IF($H11=リスト!$AA$4,"-",
   IF($C11="-","-",
     IF(BZ$4&gt;$P11,"-",
       IF(BZ$4=1,$E11,OFFSET(BZ11,0,-2)-OFFSET(BZ11,0,-1)
))))</f>
        <v>-</v>
      </c>
      <c r="CA11" s="57" t="str">
        <f>IF($H11=リスト!$AA$4,"-",
 IF($C11="-","-",
  IF(BZ$4&gt;$P11,"-",
   CHOOSE(MATCH($H$3,リスト!$AE$3:$AE$5,0),
    ROUNDUP(
      BZ11*IF(BZ11*$I11&lt;=$L11,$J11,$I11)*
      IF($P11=1,
         $S11/12,
         IF(BZ$4=1,
            $T11/12,
            IF(BZ$4=$P11,
               $U11/12,
               1
      ))),0),
    ROUNDDOWN(
      BZ11*IF(BZ11*$I11&lt;=$L11,$J11,$I11)*
      IF($P11=1,
         $S11/12,
         IF(BZ$4=1,
            $T11/12,
            IF(BZ$4=$P11,
               $U11/12,
               1
      ))),0),
    ROUND(
      BZ11*IF(BZ11*$I11&lt;=$L11,$J11,$I11)*
      IF($P11=1,
         $S11/12,
         IF(BZ$4=1,
            $T11/12,
            IF(BZ$4=$P11,
               $U11/12,
               1
      ))),0)
))))</f>
        <v>-</v>
      </c>
      <c r="CB11" s="56" t="str">
        <f ca="1">IF($H11=リスト!$AA$4,"-",
   IF($C11="-","-",
     IF(CB$4&gt;$P11,"-",
       IF(CB$4=1,$E11,OFFSET(CB11,0,-2)-OFFSET(CB11,0,-1)
))))</f>
        <v>-</v>
      </c>
      <c r="CC11" s="57" t="str">
        <f>IF($H11=リスト!$AA$4,"-",
 IF($C11="-","-",
  IF(CB$4&gt;$P11,"-",
   CHOOSE(MATCH($H$3,リスト!$AE$3:$AE$5,0),
    ROUNDUP(
      CB11*IF(CB11*$I11&lt;=$L11,$J11,$I11)*
      IF($P11=1,
         $S11/12,
         IF(CB$4=1,
            $T11/12,
            IF(CB$4=$P11,
               $U11/12,
               1
      ))),0),
    ROUNDDOWN(
      CB11*IF(CB11*$I11&lt;=$L11,$J11,$I11)*
      IF($P11=1,
         $S11/12,
         IF(CB$4=1,
            $T11/12,
            IF(CB$4=$P11,
               $U11/12,
               1
      ))),0),
    ROUND(
      CB11*IF(CB11*$I11&lt;=$L11,$J11,$I11)*
      IF($P11=1,
         $S11/12,
         IF(CB$4=1,
            $T11/12,
            IF(CB$4=$P11,
               $U11/12,
               1
      ))),0)
))))</f>
        <v>-</v>
      </c>
      <c r="CD11" s="56" t="str">
        <f ca="1">IF($H11=リスト!$AA$4,"-",
   IF($C11="-","-",
     IF(CD$4&gt;$P11,"-",
       IF(CD$4=1,$E11,OFFSET(CD11,0,-2)-OFFSET(CD11,0,-1)
))))</f>
        <v>-</v>
      </c>
      <c r="CE11" s="57" t="str">
        <f>IF($H11=リスト!$AA$4,"-",
 IF($C11="-","-",
  IF(CD$4&gt;$P11,"-",
   CHOOSE(MATCH($H$3,リスト!$AE$3:$AE$5,0),
    ROUNDUP(
      CD11*IF(CD11*$I11&lt;=$L11,$J11,$I11)*
      IF($P11=1,
         $S11/12,
         IF(CD$4=1,
            $T11/12,
            IF(CD$4=$P11,
               $U11/12,
               1
      ))),0),
    ROUNDDOWN(
      CD11*IF(CD11*$I11&lt;=$L11,$J11,$I11)*
      IF($P11=1,
         $S11/12,
         IF(CD$4=1,
            $T11/12,
            IF(CD$4=$P11,
               $U11/12,
               1
      ))),0),
    ROUND(
      CD11*IF(CD11*$I11&lt;=$L11,$J11,$I11)*
      IF($P11=1,
         $S11/12,
         IF(CD$4=1,
            $T11/12,
            IF(CD$4=$P11,
               $U11/12,
               1
      ))),0)
))))</f>
        <v>-</v>
      </c>
      <c r="CF11" s="56" t="str">
        <f ca="1">IF($H11=リスト!$AA$4,"-",
   IF($C11="-","-",
     IF(CF$4&gt;$P11,"-",
       IF(CF$4=1,$E11,OFFSET(CF11,0,-2)-OFFSET(CF11,0,-1)
))))</f>
        <v>-</v>
      </c>
      <c r="CG11" s="57" t="str">
        <f>IF($H11=リスト!$AA$4,"-",
 IF($C11="-","-",
  IF(CF$4&gt;$P11,"-",
   CHOOSE(MATCH($H$3,リスト!$AE$3:$AE$5,0),
    ROUNDUP(
      CF11*IF(CF11*$I11&lt;=$L11,$J11,$I11)*
      IF($P11=1,
         $S11/12,
         IF(CF$4=1,
            $T11/12,
            IF(CF$4=$P11,
               $U11/12,
               1
      ))),0),
    ROUNDDOWN(
      CF11*IF(CF11*$I11&lt;=$L11,$J11,$I11)*
      IF($P11=1,
         $S11/12,
         IF(CF$4=1,
            $T11/12,
            IF(CF$4=$P11,
               $U11/12,
               1
      ))),0),
    ROUND(
      CF11*IF(CF11*$I11&lt;=$L11,$J11,$I11)*
      IF($P11=1,
         $S11/12,
         IF(CF$4=1,
            $T11/12,
            IF(CF$4=$P11,
               $U11/12,
               1
      ))),0)
))))</f>
        <v>-</v>
      </c>
      <c r="CH11" s="56" t="str">
        <f ca="1">IF($H11=リスト!$AA$4,"-",
   IF($C11="-","-",
     IF(CH$4&gt;$P11,"-",
       IF(CH$4=1,$E11,OFFSET(CH11,0,-2)-OFFSET(CH11,0,-1)
))))</f>
        <v>-</v>
      </c>
      <c r="CI11" s="57" t="str">
        <f>IF($H11=リスト!$AA$4,"-",
 IF($C11="-","-",
  IF(CH$4&gt;$P11,"-",
   CHOOSE(MATCH($H$3,リスト!$AE$3:$AE$5,0),
    ROUNDUP(
      CH11*IF(CH11*$I11&lt;=$L11,$J11,$I11)*
      IF($P11=1,
         $S11/12,
         IF(CH$4=1,
            $T11/12,
            IF(CH$4=$P11,
               $U11/12,
               1
      ))),0),
    ROUNDDOWN(
      CH11*IF(CH11*$I11&lt;=$L11,$J11,$I11)*
      IF($P11=1,
         $S11/12,
         IF(CH$4=1,
            $T11/12,
            IF(CH$4=$P11,
               $U11/12,
               1
      ))),0),
    ROUND(
      CH11*IF(CH11*$I11&lt;=$L11,$J11,$I11)*
      IF($P11=1,
         $S11/12,
         IF(CH$4=1,
            $T11/12,
            IF(CH$4=$P11,
               $U11/12,
               1
      ))),0)
))))</f>
        <v>-</v>
      </c>
      <c r="CJ11" s="56" t="str">
        <f ca="1">IF($H11=リスト!$AA$4,"-",
   IF($C11="-","-",
     IF(CJ$4&gt;$P11,"-",
       IF(CJ$4=1,$E11,OFFSET(CJ11,0,-2)-OFFSET(CJ11,0,-1)
))))</f>
        <v>-</v>
      </c>
      <c r="CK11" s="57" t="str">
        <f>IF($H11=リスト!$AA$4,"-",
 IF($C11="-","-",
  IF(CJ$4&gt;$P11,"-",
   CHOOSE(MATCH($H$3,リスト!$AE$3:$AE$5,0),
    ROUNDUP(
      CJ11*IF(CJ11*$I11&lt;=$L11,$J11,$I11)*
      IF($P11=1,
         $S11/12,
         IF(CJ$4=1,
            $T11/12,
            IF(CJ$4=$P11,
               $U11/12,
               1
      ))),0),
    ROUNDDOWN(
      CJ11*IF(CJ11*$I11&lt;=$L11,$J11,$I11)*
      IF($P11=1,
         $S11/12,
         IF(CJ$4=1,
            $T11/12,
            IF(CJ$4=$P11,
               $U11/12,
               1
      ))),0),
    ROUND(
      CJ11*IF(CJ11*$I11&lt;=$L11,$J11,$I11)*
      IF($P11=1,
         $S11/12,
         IF(CJ$4=1,
            $T11/12,
            IF(CJ$4=$P11,
               $U11/12,
               1
      ))),0)
))))</f>
        <v>-</v>
      </c>
      <c r="CL11" s="56" t="str">
        <f ca="1">IF($H11=リスト!$AA$4,"-",
   IF($C11="-","-",
     IF(CL$4&gt;$P11,"-",
       IF(CL$4=1,$E11,OFFSET(CL11,0,-2)-OFFSET(CL11,0,-1)
))))</f>
        <v>-</v>
      </c>
      <c r="CM11" s="57" t="str">
        <f>IF($H11=リスト!$AA$4,"-",
 IF($C11="-","-",
  IF(CL$4&gt;$P11,"-",
   CHOOSE(MATCH($H$3,リスト!$AE$3:$AE$5,0),
    ROUNDUP(
      CL11*IF(CL11*$I11&lt;=$L11,$J11,$I11)*
      IF($P11=1,
         $S11/12,
         IF(CL$4=1,
            $T11/12,
            IF(CL$4=$P11,
               $U11/12,
               1
      ))),0),
    ROUNDDOWN(
      CL11*IF(CL11*$I11&lt;=$L11,$J11,$I11)*
      IF($P11=1,
         $S11/12,
         IF(CL$4=1,
            $T11/12,
            IF(CL$4=$P11,
               $U11/12,
               1
      ))),0),
    ROUND(
      CL11*IF(CL11*$I11&lt;=$L11,$J11,$I11)*
      IF($P11=1,
         $S11/12,
         IF(CL$4=1,
            $T11/12,
            IF(CL$4=$P11,
               $U11/12,
               1
      ))),0)
))))</f>
        <v>-</v>
      </c>
      <c r="CN11" s="56" t="str">
        <f ca="1">IF($H11=リスト!$AA$4,"-",
   IF($C11="-","-",
     IF(CN$4&gt;$P11,"-",
       IF(CN$4=1,$E11,OFFSET(CN11,0,-2)-OFFSET(CN11,0,-1)
))))</f>
        <v>-</v>
      </c>
      <c r="CO11" s="57" t="str">
        <f>IF($H11=リスト!$AA$4,"-",
 IF($C11="-","-",
  IF(CN$4&gt;$P11,"-",
   CHOOSE(MATCH($H$3,リスト!$AE$3:$AE$5,0),
    ROUNDUP(
      CN11*IF(CN11*$I11&lt;=$L11,$J11,$I11)*
      IF($P11=1,
         $S11/12,
         IF(CN$4=1,
            $T11/12,
            IF(CN$4=$P11,
               $U11/12,
               1
      ))),0),
    ROUNDDOWN(
      CN11*IF(CN11*$I11&lt;=$L11,$J11,$I11)*
      IF($P11=1,
         $S11/12,
         IF(CN$4=1,
            $T11/12,
            IF(CN$4=$P11,
               $U11/12,
               1
      ))),0),
    ROUND(
      CN11*IF(CN11*$I11&lt;=$L11,$J11,$I11)*
      IF($P11=1,
         $S11/12,
         IF(CN$4=1,
            $T11/12,
            IF(CN$4=$P11,
               $U11/12,
               1
      ))),0)
))))</f>
        <v>-</v>
      </c>
      <c r="CP11" s="56" t="str">
        <f ca="1">IF($H11=リスト!$AA$4,"-",
   IF($C11="-","-",
     IF(CP$4&gt;$P11,"-",
       IF(CP$4=1,$E11,OFFSET(CP11,0,-2)-OFFSET(CP11,0,-1)
))))</f>
        <v>-</v>
      </c>
      <c r="CQ11" s="57" t="str">
        <f>IF($H11=リスト!$AA$4,"-",
 IF($C11="-","-",
  IF(CP$4&gt;$P11,"-",
   CHOOSE(MATCH($H$3,リスト!$AE$3:$AE$5,0),
    ROUNDUP(
      CP11*IF(CP11*$I11&lt;=$L11,$J11,$I11)*
      IF($P11=1,
         $S11/12,
         IF(CP$4=1,
            $T11/12,
            IF(CP$4=$P11,
               $U11/12,
               1
      ))),0),
    ROUNDDOWN(
      CP11*IF(CP11*$I11&lt;=$L11,$J11,$I11)*
      IF($P11=1,
         $S11/12,
         IF(CP$4=1,
            $T11/12,
            IF(CP$4=$P11,
               $U11/12,
               1
      ))),0),
    ROUND(
      CP11*IF(CP11*$I11&lt;=$L11,$J11,$I11)*
      IF($P11=1,
         $S11/12,
         IF(CP$4=1,
            $T11/12,
            IF(CP$4=$P11,
               $U11/12,
               1
      ))),0)
))))</f>
        <v>-</v>
      </c>
      <c r="CR11" s="56" t="str">
        <f ca="1">IF($H11=リスト!$AA$4,"-",
   IF($C11="-","-",
     IF(CR$4&gt;$P11,"-",
       IF(CR$4=1,$E11,OFFSET(CR11,0,-2)-OFFSET(CR11,0,-1)
))))</f>
        <v>-</v>
      </c>
      <c r="CS11" s="57" t="str">
        <f>IF($H11=リスト!$AA$4,"-",
 IF($C11="-","-",
  IF(CR$4&gt;$P11,"-",
   CHOOSE(MATCH($H$3,リスト!$AE$3:$AE$5,0),
    ROUNDUP(
      CR11*IF(CR11*$I11&lt;=$L11,$J11,$I11)*
      IF($P11=1,
         $S11/12,
         IF(CR$4=1,
            $T11/12,
            IF(CR$4=$P11,
               $U11/12,
               1
      ))),0),
    ROUNDDOWN(
      CR11*IF(CR11*$I11&lt;=$L11,$J11,$I11)*
      IF($P11=1,
         $S11/12,
         IF(CR$4=1,
            $T11/12,
            IF(CR$4=$P11,
               $U11/12,
               1
      ))),0),
    ROUND(
      CR11*IF(CR11*$I11&lt;=$L11,$J11,$I11)*
      IF($P11=1,
         $S11/12,
         IF(CR$4=1,
            $T11/12,
            IF(CR$4=$P11,
               $U11/12,
               1
      ))),0)
))))</f>
        <v>-</v>
      </c>
      <c r="CT11" s="56" t="str">
        <f ca="1">IF($H11=リスト!$AA$4,"-",
   IF($C11="-","-",
     IF(CT$4&gt;$P11,"-",
       IF(CT$4=1,$E11,OFFSET(CT11,0,-2)-OFFSET(CT11,0,-1)
))))</f>
        <v>-</v>
      </c>
      <c r="CU11" s="57" t="str">
        <f>IF($H11=リスト!$AA$4,"-",
 IF($C11="-","-",
  IF(CT$4&gt;$P11,"-",
   CHOOSE(MATCH($H$3,リスト!$AE$3:$AE$5,0),
    ROUNDUP(
      CT11*IF(CT11*$I11&lt;=$L11,$J11,$I11)*
      IF($P11=1,
         $S11/12,
         IF(CT$4=1,
            $T11/12,
            IF(CT$4=$P11,
               $U11/12,
               1
      ))),0),
    ROUNDDOWN(
      CT11*IF(CT11*$I11&lt;=$L11,$J11,$I11)*
      IF($P11=1,
         $S11/12,
         IF(CT$4=1,
            $T11/12,
            IF(CT$4=$P11,
               $U11/12,
               1
      ))),0),
    ROUND(
      CT11*IF(CT11*$I11&lt;=$L11,$J11,$I11)*
      IF($P11=1,
         $S11/12,
         IF(CT$4=1,
            $T11/12,
            IF(CT$4=$P11,
               $U11/12,
               1
      ))),0)
))))</f>
        <v>-</v>
      </c>
      <c r="CV11" s="56" t="str">
        <f ca="1">IF($H11=リスト!$AA$4,"-",
   IF($C11="-","-",
     IF(CV$4&gt;$P11,"-",
       IF(CV$4=1,$E11,OFFSET(CV11,0,-2)-OFFSET(CV11,0,-1)
))))</f>
        <v>-</v>
      </c>
      <c r="CW11" s="57" t="str">
        <f>IF($H11=リスト!$AA$4,"-",
 IF($C11="-","-",
  IF(CV$4&gt;$P11,"-",
   CHOOSE(MATCH($H$3,リスト!$AE$3:$AE$5,0),
    ROUNDUP(
      CV11*IF(CV11*$I11&lt;=$L11,$J11,$I11)*
      IF($P11=1,
         $S11/12,
         IF(CV$4=1,
            $T11/12,
            IF(CV$4=$P11,
               $U11/12,
               1
      ))),0),
    ROUNDDOWN(
      CV11*IF(CV11*$I11&lt;=$L11,$J11,$I11)*
      IF($P11=1,
         $S11/12,
         IF(CV$4=1,
            $T11/12,
            IF(CV$4=$P11,
               $U11/12,
               1
      ))),0),
    ROUND(
      CV11*IF(CV11*$I11&lt;=$L11,$J11,$I11)*
      IF($P11=1,
         $S11/12,
         IF(CV$4=1,
            $T11/12,
            IF(CV$4=$P11,
               $U11/12,
               1
      ))),0)
))))</f>
        <v>-</v>
      </c>
      <c r="CX11" s="56" t="str">
        <f ca="1">IF($H11=リスト!$AA$4,"-",
   IF($C11="-","-",
     IF(CX$4&gt;$P11,"-",
       IF(CX$4=1,$E11,OFFSET(CX11,0,-2)-OFFSET(CX11,0,-1)
))))</f>
        <v>-</v>
      </c>
      <c r="CY11" s="57" t="str">
        <f>IF($H11=リスト!$AA$4,"-",
 IF($C11="-","-",
  IF(CX$4&gt;$P11,"-",
   CHOOSE(MATCH($H$3,リスト!$AE$3:$AE$5,0),
    ROUNDUP(
      CX11*IF(CX11*$I11&lt;=$L11,$J11,$I11)*
      IF($P11=1,
         $S11/12,
         IF(CX$4=1,
            $T11/12,
            IF(CX$4=$P11,
               $U11/12,
               1
      ))),0),
    ROUNDDOWN(
      CX11*IF(CX11*$I11&lt;=$L11,$J11,$I11)*
      IF($P11=1,
         $S11/12,
         IF(CX$4=1,
            $T11/12,
            IF(CX$4=$P11,
               $U11/12,
               1
      ))),0),
    ROUND(
      CX11*IF(CX11*$I11&lt;=$L11,$J11,$I11)*
      IF($P11=1,
         $S11/12,
         IF(CX$4=1,
            $T11/12,
            IF(CX$4=$P11,
               $U11/12,
               1
      ))),0)
))))</f>
        <v>-</v>
      </c>
      <c r="CZ11" s="56" t="str">
        <f ca="1">IF($H11=リスト!$AA$4,"-",
   IF($C11="-","-",
     IF(CZ$4&gt;$P11,"-",
       IF(CZ$4=1,$E11,OFFSET(CZ11,0,-2)-OFFSET(CZ11,0,-1)
))))</f>
        <v>-</v>
      </c>
      <c r="DA11" s="57" t="str">
        <f>IF($H11=リスト!$AA$4,"-",
 IF($C11="-","-",
  IF(CZ$4&gt;$P11,"-",
   CHOOSE(MATCH($H$3,リスト!$AE$3:$AE$5,0),
    ROUNDUP(
      CZ11*IF(CZ11*$I11&lt;=$L11,$J11,$I11)*
      IF($P11=1,
         $S11/12,
         IF(CZ$4=1,
            $T11/12,
            IF(CZ$4=$P11,
               $U11/12,
               1
      ))),0),
    ROUNDDOWN(
      CZ11*IF(CZ11*$I11&lt;=$L11,$J11,$I11)*
      IF($P11=1,
         $S11/12,
         IF(CZ$4=1,
            $T11/12,
            IF(CZ$4=$P11,
               $U11/12,
               1
      ))),0),
    ROUND(
      CZ11*IF(CZ11*$I11&lt;=$L11,$J11,$I11)*
      IF($P11=1,
         $S11/12,
         IF(CZ$4=1,
            $T11/12,
            IF(CZ$4=$P11,
               $U11/12,
               1
      ))),0)
))))</f>
        <v>-</v>
      </c>
      <c r="DB11" s="56" t="str">
        <f ca="1">IF($H11=リスト!$AA$4,"-",
   IF($C11="-","-",
     IF(DB$4&gt;$P11,"-",
       IF(DB$4=1,$E11,OFFSET(DB11,0,-2)-OFFSET(DB11,0,-1)
))))</f>
        <v>-</v>
      </c>
      <c r="DC11" s="57" t="str">
        <f>IF($H11=リスト!$AA$4,"-",
 IF($C11="-","-",
  IF(DB$4&gt;$P11,"-",
   CHOOSE(MATCH($H$3,リスト!$AE$3:$AE$5,0),
    ROUNDUP(
      DB11*IF(DB11*$I11&lt;=$L11,$J11,$I11)*
      IF($P11=1,
         $S11/12,
         IF(DB$4=1,
            $T11/12,
            IF(DB$4=$P11,
               $U11/12,
               1
      ))),0),
    ROUNDDOWN(
      DB11*IF(DB11*$I11&lt;=$L11,$J11,$I11)*
      IF($P11=1,
         $S11/12,
         IF(DB$4=1,
            $T11/12,
            IF(DB$4=$P11,
               $U11/12,
               1
      ))),0),
    ROUND(
      DB11*IF(DB11*$I11&lt;=$L11,$J11,$I11)*
      IF($P11=1,
         $S11/12,
         IF(DB$4=1,
            $T11/12,
            IF(DB$4=$P11,
               $U11/12,
               1
      ))),0)
))))</f>
        <v>-</v>
      </c>
      <c r="DD11" s="56" t="str">
        <f ca="1">IF($H11=リスト!$AA$4,"-",
   IF($C11="-","-",
     IF(DD$4&gt;$P11,"-",
       IF(DD$4=1,$E11,OFFSET(DD11,0,-2)-OFFSET(DD11,0,-1)
))))</f>
        <v>-</v>
      </c>
      <c r="DE11" s="57" t="str">
        <f>IF($H11=リスト!$AA$4,"-",
 IF($C11="-","-",
  IF(DD$4&gt;$P11,"-",
   CHOOSE(MATCH($H$3,リスト!$AE$3:$AE$5,0),
    ROUNDUP(
      DD11*IF(DD11*$I11&lt;=$L11,$J11,$I11)*
      IF($P11=1,
         $S11/12,
         IF(DD$4=1,
            $T11/12,
            IF(DD$4=$P11,
               $U11/12,
               1
      ))),0),
    ROUNDDOWN(
      DD11*IF(DD11*$I11&lt;=$L11,$J11,$I11)*
      IF($P11=1,
         $S11/12,
         IF(DD$4=1,
            $T11/12,
            IF(DD$4=$P11,
               $U11/12,
               1
      ))),0),
    ROUND(
      DD11*IF(DD11*$I11&lt;=$L11,$J11,$I11)*
      IF($P11=1,
         $S11/12,
         IF(DD$4=1,
            $T11/12,
            IF(DD$4=$P11,
               $U11/12,
               1
      ))),0)
))))</f>
        <v>-</v>
      </c>
      <c r="DF11" s="56" t="str">
        <f ca="1">IF($H11=リスト!$AA$4,"-",
   IF($C11="-","-",
     IF(DF$4&gt;$P11,"-",
       IF(DF$4=1,$E11,OFFSET(DF11,0,-2)-OFFSET(DF11,0,-1)
))))</f>
        <v>-</v>
      </c>
      <c r="DG11" s="57" t="str">
        <f>IF($H11=リスト!$AA$4,"-",
 IF($C11="-","-",
  IF(DF$4&gt;$P11,"-",
   CHOOSE(MATCH($H$3,リスト!$AE$3:$AE$5,0),
    ROUNDUP(
      DF11*IF(DF11*$I11&lt;=$L11,$J11,$I11)*
      IF($P11=1,
         $S11/12,
         IF(DF$4=1,
            $T11/12,
            IF(DF$4=$P11,
               $U11/12,
               1
      ))),0),
    ROUNDDOWN(
      DF11*IF(DF11*$I11&lt;=$L11,$J11,$I11)*
      IF($P11=1,
         $S11/12,
         IF(DF$4=1,
            $T11/12,
            IF(DF$4=$P11,
               $U11/12,
               1
      ))),0),
    ROUND(
      DF11*IF(DF11*$I11&lt;=$L11,$J11,$I11)*
      IF($P11=1,
         $S11/12,
         IF(DF$4=1,
            $T11/12,
            IF(DF$4=$P11,
               $U11/12,
               1
      ))),0)
))))</f>
        <v>-</v>
      </c>
      <c r="DH11" s="56" t="str">
        <f ca="1">IF($H11=リスト!$AA$4,"-",
   IF($C11="-","-",
     IF(DH$4&gt;$P11,"-",
       IF(DH$4=1,$E11,OFFSET(DH11,0,-2)-OFFSET(DH11,0,-1)
))))</f>
        <v>-</v>
      </c>
      <c r="DI11" s="57" t="str">
        <f>IF($H11=リスト!$AA$4,"-",
 IF($C11="-","-",
  IF(DH$4&gt;$P11,"-",
   CHOOSE(MATCH($H$3,リスト!$AE$3:$AE$5,0),
    ROUNDUP(
      DH11*IF(DH11*$I11&lt;=$L11,$J11,$I11)*
      IF($P11=1,
         $S11/12,
         IF(DH$4=1,
            $T11/12,
            IF(DH$4=$P11,
               $U11/12,
               1
      ))),0),
    ROUNDDOWN(
      DH11*IF(DH11*$I11&lt;=$L11,$J11,$I11)*
      IF($P11=1,
         $S11/12,
         IF(DH$4=1,
            $T11/12,
            IF(DH$4=$P11,
               $U11/12,
               1
      ))),0),
    ROUND(
      DH11*IF(DH11*$I11&lt;=$L11,$J11,$I11)*
      IF($P11=1,
         $S11/12,
         IF(DH$4=1,
            $T11/12,
            IF(DH$4=$P11,
               $U11/12,
               1
      ))),0)
))))</f>
        <v>-</v>
      </c>
      <c r="DJ11" s="56" t="str">
        <f ca="1">IF($H11=リスト!$AA$4,"-",
   IF($C11="-","-",
     IF(DJ$4&gt;$P11,"-",
       IF(DJ$4=1,$E11,OFFSET(DJ11,0,-2)-OFFSET(DJ11,0,-1)
))))</f>
        <v>-</v>
      </c>
      <c r="DK11" s="57" t="str">
        <f>IF($H11=リスト!$AA$4,"-",
 IF($C11="-","-",
  IF(DJ$4&gt;$P11,"-",
   CHOOSE(MATCH($H$3,リスト!$AE$3:$AE$5,0),
    ROUNDUP(
      DJ11*IF(DJ11*$I11&lt;=$L11,$J11,$I11)*
      IF($P11=1,
         $S11/12,
         IF(DJ$4=1,
            $T11/12,
            IF(DJ$4=$P11,
               $U11/12,
               1
      ))),0),
    ROUNDDOWN(
      DJ11*IF(DJ11*$I11&lt;=$L11,$J11,$I11)*
      IF($P11=1,
         $S11/12,
         IF(DJ$4=1,
            $T11/12,
            IF(DJ$4=$P11,
               $U11/12,
               1
      ))),0),
    ROUND(
      DJ11*IF(DJ11*$I11&lt;=$L11,$J11,$I11)*
      IF($P11=1,
         $S11/12,
         IF(DJ$4=1,
            $T11/12,
            IF(DJ$4=$P11,
               $U11/12,
               1
      ))),0)
))))</f>
        <v>-</v>
      </c>
      <c r="DL11" s="56" t="str">
        <f ca="1">IF($H11=リスト!$AA$4,"-",
   IF($C11="-","-",
     IF(DL$4&gt;$P11,"-",
       IF(DL$4=1,$E11,OFFSET(DL11,0,-2)-OFFSET(DL11,0,-1)
))))</f>
        <v>-</v>
      </c>
      <c r="DM11" s="57" t="str">
        <f>IF($H11=リスト!$AA$4,"-",
 IF($C11="-","-",
  IF(DL$4&gt;$P11,"-",
   CHOOSE(MATCH($H$3,リスト!$AE$3:$AE$5,0),
    ROUNDUP(
      DL11*IF(DL11*$I11&lt;=$L11,$J11,$I11)*
      IF($P11=1,
         $S11/12,
         IF(DL$4=1,
            $T11/12,
            IF(DL$4=$P11,
               $U11/12,
               1
      ))),0),
    ROUNDDOWN(
      DL11*IF(DL11*$I11&lt;=$L11,$J11,$I11)*
      IF($P11=1,
         $S11/12,
         IF(DL$4=1,
            $T11/12,
            IF(DL$4=$P11,
               $U11/12,
               1
      ))),0),
    ROUND(
      DL11*IF(DL11*$I11&lt;=$L11,$J11,$I11)*
      IF($P11=1,
         $S11/12,
         IF(DL$4=1,
            $T11/12,
            IF(DL$4=$P11,
               $U11/12,
               1
      ))),0)
))))</f>
        <v>-</v>
      </c>
      <c r="DN11" s="56" t="str">
        <f ca="1">IF($H11=リスト!$AA$4,"-",
   IF($C11="-","-",
     IF(DN$4&gt;$P11,"-",
       IF(DN$4=1,$E11,OFFSET(DN11,0,-2)-OFFSET(DN11,0,-1)
))))</f>
        <v>-</v>
      </c>
      <c r="DO11" s="57" t="str">
        <f>IF($H11=リスト!$AA$4,"-",
 IF($C11="-","-",
  IF(DN$4&gt;$P11,"-",
   CHOOSE(MATCH($H$3,リスト!$AE$3:$AE$5,0),
    ROUNDUP(
      DN11*IF(DN11*$I11&lt;=$L11,$J11,$I11)*
      IF($P11=1,
         $S11/12,
         IF(DN$4=1,
            $T11/12,
            IF(DN$4=$P11,
               $U11/12,
               1
      ))),0),
    ROUNDDOWN(
      DN11*IF(DN11*$I11&lt;=$L11,$J11,$I11)*
      IF($P11=1,
         $S11/12,
         IF(DN$4=1,
            $T11/12,
            IF(DN$4=$P11,
               $U11/12,
               1
      ))),0),
    ROUND(
      DN11*IF(DN11*$I11&lt;=$L11,$J11,$I11)*
      IF($P11=1,
         $S11/12,
         IF(DN$4=1,
            $T11/12,
            IF(DN$4=$P11,
               $U11/12,
               1
      ))),0)
))))</f>
        <v>-</v>
      </c>
      <c r="DP11" s="56" t="str">
        <f ca="1">IF($H11=リスト!$AA$4,"-",
   IF($C11="-","-",
     IF(DP$4&gt;$P11,"-",
       IF(DP$4=1,$E11,OFFSET(DP11,0,-2)-OFFSET(DP11,0,-1)
))))</f>
        <v>-</v>
      </c>
      <c r="DQ11" s="57" t="str">
        <f>IF($H11=リスト!$AA$4,"-",
 IF($C11="-","-",
  IF(DP$4&gt;$P11,"-",
   CHOOSE(MATCH($H$3,リスト!$AE$3:$AE$5,0),
    ROUNDUP(
      DP11*IF(DP11*$I11&lt;=$L11,$J11,$I11)*
      IF($P11=1,
         $S11/12,
         IF(DP$4=1,
            $T11/12,
            IF(DP$4=$P11,
               $U11/12,
               1
      ))),0),
    ROUNDDOWN(
      DP11*IF(DP11*$I11&lt;=$L11,$J11,$I11)*
      IF($P11=1,
         $S11/12,
         IF(DP$4=1,
            $T11/12,
            IF(DP$4=$P11,
               $U11/12,
               1
      ))),0),
    ROUND(
      DP11*IF(DP11*$I11&lt;=$L11,$J11,$I11)*
      IF($P11=1,
         $S11/12,
         IF(DP$4=1,
            $T11/12,
            IF(DP$4=$P11,
               $U11/12,
               1
      ))),0)
))))</f>
        <v>-</v>
      </c>
      <c r="DR11" s="56" t="str">
        <f ca="1">IF($H11=リスト!$AA$4,"-",
   IF($C11="-","-",
     IF(DR$4&gt;$P11,"-",
       IF(DR$4=1,$E11,OFFSET(DR11,0,-2)-OFFSET(DR11,0,-1)
))))</f>
        <v>-</v>
      </c>
      <c r="DS11" s="57" t="str">
        <f>IF($H11=リスト!$AA$4,"-",
 IF($C11="-","-",
  IF(DR$4&gt;$P11,"-",
   CHOOSE(MATCH($H$3,リスト!$AE$3:$AE$5,0),
    ROUNDUP(
      DR11*IF(DR11*$I11&lt;=$L11,$J11,$I11)*
      IF($P11=1,
         ($G11-$F11+1)/$Q11,
         IF(DR$4=1,
            ($M11-$F11+1)/$Q11,
            IF(DR$4=$P11,
               ($G11-$O11+1)/$R11,
               1
      ))),0),
    ROUNDDOWN(
      DR11*IF(DR11*$I11&lt;=$L11,$J11,$I11)*
      IF($P11=1,
         ($G11-$F11+1)/$Q11,
         IF(DR$4=1,
            ($M11-$F11+1)/$Q11,
            IF(DR$4=$P11,
               ($G11-$O11+1)/$R11,
               1
      ))),0),
    ROUND(
      DR11*IF(DR11*$I11&lt;=$L11,$J11,$I11)*
      IF($P11=1,
         ($G11-$F11+1)/$Q11,
         IF(DR$4=1,
            ($M11-$F11+1)/$Q11,
            IF(DR$4=$P11,
               ($G11-$O11+1)/$R11,
               1
      ))),0)
))))</f>
        <v>-</v>
      </c>
      <c r="DT11" s="56" t="str" cm="1">
        <f t="array" ref="DT11">IF($H11&lt;&gt;リスト!$AA$3,"-",$E11-SUMPRODUCT(IFERROR($Y11:$DS11*1,0), --(MOD(COLUMN($Y11:$DS11)-COLUMN($Y11),2)=0)))</f>
        <v>-</v>
      </c>
      <c r="DU11" s="56" t="str">
        <f>IF($H11&lt;&gt;リスト!$AA$4,"-",
    IF($H$3=リスト!$AE$3,$E11-ROUNDUP($E11*I11*$W11/12,0),
    IF($H$3=リスト!$AE$4,$E11-ROUNDDOWN($E11*I11*$W11/12,0),
    IF($H$3=リスト!$AE$5,$E11-ROUND($E11*I11*$W11/12,0),
    "-"))))</f>
        <v>-</v>
      </c>
    </row>
    <row r="12" spans="2:125">
      <c r="B12" s="54">
        <v>7</v>
      </c>
      <c r="C12" s="55" t="str">
        <f>IF('財産処分報告(災害)用'!$C12="","-",'財産処分報告(災害)用'!$C12)</f>
        <v>-</v>
      </c>
      <c r="D12" s="55" t="str">
        <f>'財産処分報告(災害)用'!$E12</f>
        <v>-</v>
      </c>
      <c r="E12" s="56" t="str">
        <f>IF('財産処分報告(災害)用'!$J12="","-",'財産処分報告(災害)用'!$J12)</f>
        <v>-</v>
      </c>
      <c r="F12" s="101" t="str">
        <f>IF('財産処分報告(災害)用'!$K12="","-",'財産処分報告(災害)用'!$K12)</f>
        <v>-</v>
      </c>
      <c r="G12" s="101" t="str">
        <f>IF('財産処分報告(災害)用'!$L12="","-",'財産処分報告(災害)用'!$L12)</f>
        <v>-</v>
      </c>
      <c r="H12" s="55" t="str">
        <f>IF('財産処分報告(災害)用'!$M12="","-",'財産処分報告(災害)用'!$M12)</f>
        <v>-</v>
      </c>
      <c r="I12" s="55" t="str">
        <f>IF(OR($D12="-",$H12="-"),"-",INDEX(リスト!$AG$2:$AI$101,MATCH($D12,リスト!$AG$2:$AG$101,0),MATCH($H12,リスト!$AG$2:$AI$2,0)))</f>
        <v>-</v>
      </c>
      <c r="J12" s="55" t="str">
        <f>IF(OR($D12="-",$H12="-"),"-",IF($H12=リスト!$AA$4,"-",INDEX(リスト!$AG$2:$AK$101,MATCH($D12,リスト!$AG$2:$AG$101,0),4)))</f>
        <v>-</v>
      </c>
      <c r="K12" s="55" t="str">
        <f>IF(OR($D12="-",$H12="-"),"-",IF($H12=リスト!$AA$4,"-",INDEX(リスト!$AG$2:$AK$101,MATCH($D12,リスト!$AG$2:$AG$101,0),5)))</f>
        <v>-</v>
      </c>
      <c r="L12" s="55" t="str">
        <f t="shared" si="0"/>
        <v>-</v>
      </c>
      <c r="M12" s="101" t="str">
        <f t="shared" si="1"/>
        <v>-</v>
      </c>
      <c r="N12" s="101" t="str">
        <f t="shared" si="2"/>
        <v>-</v>
      </c>
      <c r="O12" s="101" t="str">
        <f t="shared" si="3"/>
        <v>-</v>
      </c>
      <c r="P12" s="102" t="str">
        <f t="shared" si="4"/>
        <v>-</v>
      </c>
      <c r="Q12" s="115" t="str">
        <f t="shared" si="5"/>
        <v>-</v>
      </c>
      <c r="R12" s="116" t="str">
        <f t="shared" si="6"/>
        <v>-</v>
      </c>
      <c r="S12" s="102" t="str">
        <f t="shared" si="7"/>
        <v>-</v>
      </c>
      <c r="T12" s="102" t="str">
        <f t="shared" si="8"/>
        <v>-</v>
      </c>
      <c r="U12" s="102" t="str">
        <f t="shared" si="9"/>
        <v>-</v>
      </c>
      <c r="V12" s="102" t="str">
        <f t="shared" si="10"/>
        <v>-</v>
      </c>
      <c r="W12" s="55" t="str">
        <f t="shared" si="11"/>
        <v>-</v>
      </c>
      <c r="X12" s="56" t="str">
        <f ca="1">IF($H12=リスト!$AA$4,"-",
   IF($C12="-","-",
     IF(X$4&gt;$P12,"-",
       IF(X$4=1,$E12,OFFSET(X12,0,-2)-OFFSET(X12,0,-1)
))))</f>
        <v>-</v>
      </c>
      <c r="Y12" s="57" t="str">
        <f>IF($H12=リスト!$AA$4,"-",
 IF($C12="-","-",
  IF(X$4&gt;$P12,"-",
   CHOOSE(MATCH($H$3,リスト!$AE$3:$AE$5,0),
    ROUNDUP(
      X12*IF(X12*$I12&lt;=$L12,$J12,$I12)*
      IF($P12=1,
         $S12/12,
         IF(X$4=1,
            $T12/12,
            IF(X$4=$P12,
               $U12/12,
               1
      ))),0),
    ROUNDDOWN(
      X12*IF(X12*$I12&lt;=$L12,$J12,$I12)*
      IF($P12=1,
         $S12/12,
         IF(X$4=1,
            $T12/12,
            IF(X$4=$P12,
               $U12/12,
               1
      ))),0),
    ROUND(
      X12*IF(X12*$I12&lt;=$L12,$J12,$I12)*
      IF($P12=1,
         $S12/12,
         IF(X$4=1,
            $T12/12,
            IF(X$4=$P12,
               $U12/12,
               1
      ))),0)
))))</f>
        <v>-</v>
      </c>
      <c r="Z12" s="56" t="str">
        <f ca="1">IF($H12=リスト!$AA$4,"-",
   IF($C12="-","-",
     IF(Z$4&gt;$P12,"-",
       IF(Z$4=1,$E12,OFFSET(Z12,0,-2)-OFFSET(Z12,0,-1)
))))</f>
        <v>-</v>
      </c>
      <c r="AA12" s="57" t="str">
        <f>IF($H12=リスト!$AA$4,"-",
 IF($C12="-","-",
  IF(Z$4&gt;$P12,"-",
   CHOOSE(MATCH($H$3,リスト!$AE$3:$AE$5,0),
    ROUNDUP(
      Z12*IF(Z12*$I12&lt;=$L12,$J12,$I12)*
      IF($P12=1,
         $S12/12,
         IF(Z$4=1,
            $T12/12,
            IF(Z$4=$P12,
               $U12/12,
               1
      ))),0),
    ROUNDDOWN(
      Z12*IF(Z12*$I12&lt;=$L12,$J12,$I12)*
      IF($P12=1,
         $S12/12,
         IF(Z$4=1,
            $T12/12,
            IF(Z$4=$P12,
               $U12/12,
               1
      ))),0),
    ROUND(
      Z12*IF(Z12*$I12&lt;=$L12,$J12,$I12)*
      IF($P12=1,
         $S12/12,
         IF(Z$4=1,
            $T12/12,
            IF(Z$4=$P12,
               $U12/12,
               1
      ))),0)
))))</f>
        <v>-</v>
      </c>
      <c r="AB12" s="56" t="str">
        <f ca="1">IF($H12=リスト!$AA$4,"-",
   IF($C12="-","-",
     IF(AB$4&gt;$P12,"-",
       IF(AB$4=1,$E12,OFFSET(AB12,0,-2)-OFFSET(AB12,0,-1)
))))</f>
        <v>-</v>
      </c>
      <c r="AC12" s="57" t="str">
        <f>IF($H12=リスト!$AA$4,"-",
 IF($C12="-","-",
  IF(AB$4&gt;$P12,"-",
   CHOOSE(MATCH($H$3,リスト!$AE$3:$AE$5,0),
    ROUNDUP(
      AB12*IF(AB12*$I12&lt;=$L12,$J12,$I12)*
      IF($P12=1,
         $S12/12,
         IF(AB$4=1,
            $T12/12,
            IF(AB$4=$P12,
               $U12/12,
               1
      ))),0),
    ROUNDDOWN(
      AB12*IF(AB12*$I12&lt;=$L12,$J12,$I12)*
      IF($P12=1,
         $S12/12,
         IF(AB$4=1,
            $T12/12,
            IF(AB$4=$P12,
               $U12/12,
               1
      ))),0),
    ROUND(
      AB12*IF(AB12*$I12&lt;=$L12,$J12,$I12)*
      IF($P12=1,
         $S12/12,
         IF(AB$4=1,
            $T12/12,
            IF(AB$4=$P12,
               $U12/12,
               1
      ))),0)
))))</f>
        <v>-</v>
      </c>
      <c r="AD12" s="56" t="str">
        <f ca="1">IF($H12=リスト!$AA$4,"-",
   IF($C12="-","-",
     IF(AD$4&gt;$P12,"-",
       IF(AD$4=1,$E12,OFFSET(AD12,0,-2)-OFFSET(AD12,0,-1)
))))</f>
        <v>-</v>
      </c>
      <c r="AE12" s="57" t="str">
        <f>IF($H12=リスト!$AA$4,"-",
 IF($C12="-","-",
  IF(AD$4&gt;$P12,"-",
   CHOOSE(MATCH($H$3,リスト!$AE$3:$AE$5,0),
    ROUNDUP(
      AD12*IF(AD12*$I12&lt;=$L12,$J12,$I12)*
      IF($P12=1,
         $S12/12,
         IF(AD$4=1,
            $T12/12,
            IF(AD$4=$P12,
               $U12/12,
               1
      ))),0),
    ROUNDDOWN(
      AD12*IF(AD12*$I12&lt;=$L12,$J12,$I12)*
      IF($P12=1,
         $S12/12,
         IF(AD$4=1,
            $T12/12,
            IF(AD$4=$P12,
               $U12/12,
               1
      ))),0),
    ROUND(
      AD12*IF(AD12*$I12&lt;=$L12,$J12,$I12)*
      IF($P12=1,
         $S12/12,
         IF(AD$4=1,
            $T12/12,
            IF(AD$4=$P12,
               $U12/12,
               1
      ))),0)
))))</f>
        <v>-</v>
      </c>
      <c r="AF12" s="56" t="str">
        <f ca="1">IF($H12=リスト!$AA$4,"-",
   IF($C12="-","-",
     IF(AF$4&gt;$P12,"-",
       IF(AF$4=1,$E12,OFFSET(AF12,0,-2)-OFFSET(AF12,0,-1)
))))</f>
        <v>-</v>
      </c>
      <c r="AG12" s="57" t="str">
        <f>IF($H12=リスト!$AA$4,"-",
 IF($C12="-","-",
  IF(AF$4&gt;$P12,"-",
   CHOOSE(MATCH($H$3,リスト!$AE$3:$AE$5,0),
    ROUNDUP(
      AF12*IF(AF12*$I12&lt;=$L12,$J12,$I12)*
      IF($P12=1,
         $S12/12,
         IF(AF$4=1,
            $T12/12,
            IF(AF$4=$P12,
               $U12/12,
               1
      ))),0),
    ROUNDDOWN(
      AF12*IF(AF12*$I12&lt;=$L12,$J12,$I12)*
      IF($P12=1,
         $S12/12,
         IF(AF$4=1,
            $T12/12,
            IF(AF$4=$P12,
               $U12/12,
               1
      ))),0),
    ROUND(
      AF12*IF(AF12*$I12&lt;=$L12,$J12,$I12)*
      IF($P12=1,
         $S12/12,
         IF(AF$4=1,
            $T12/12,
            IF(AF$4=$P12,
               $U12/12,
               1
      ))),0)
))))</f>
        <v>-</v>
      </c>
      <c r="AH12" s="56" t="str">
        <f ca="1">IF($H12=リスト!$AA$4,"-",
   IF($C12="-","-",
     IF(AH$4&gt;$P12,"-",
       IF(AH$4=1,$E12,OFFSET(AH12,0,-2)-OFFSET(AH12,0,-1)
))))</f>
        <v>-</v>
      </c>
      <c r="AI12" s="57" t="str">
        <f>IF($H12=リスト!$AA$4,"-",
 IF($C12="-","-",
  IF(AH$4&gt;$P12,"-",
   CHOOSE(MATCH($H$3,リスト!$AE$3:$AE$5,0),
    ROUNDUP(
      AH12*IF(AH12*$I12&lt;=$L12,$J12,$I12)*
      IF($P12=1,
         $S12/12,
         IF(AH$4=1,
            $T12/12,
            IF(AH$4=$P12,
               $U12/12,
               1
      ))),0),
    ROUNDDOWN(
      AH12*IF(AH12*$I12&lt;=$L12,$J12,$I12)*
      IF($P12=1,
         $S12/12,
         IF(AH$4=1,
            $T12/12,
            IF(AH$4=$P12,
               $U12/12,
               1
      ))),0),
    ROUND(
      AH12*IF(AH12*$I12&lt;=$L12,$J12,$I12)*
      IF($P12=1,
         $S12/12,
         IF(AH$4=1,
            $T12/12,
            IF(AH$4=$P12,
               $U12/12,
               1
      ))),0)
))))</f>
        <v>-</v>
      </c>
      <c r="AJ12" s="56" t="str">
        <f ca="1">IF($H12=リスト!$AA$4,"-",
   IF($C12="-","-",
     IF(AJ$4&gt;$P12,"-",
       IF(AJ$4=1,$E12,OFFSET(AJ12,0,-2)-OFFSET(AJ12,0,-1)
))))</f>
        <v>-</v>
      </c>
      <c r="AK12" s="57" t="str">
        <f>IF($H12=リスト!$AA$4,"-",
 IF($C12="-","-",
  IF(AJ$4&gt;$P12,"-",
   CHOOSE(MATCH($H$3,リスト!$AE$3:$AE$5,0),
    ROUNDUP(
      AJ12*IF(AJ12*$I12&lt;=$L12,$J12,$I12)*
      IF($P12=1,
         $S12/12,
         IF(AJ$4=1,
            $T12/12,
            IF(AJ$4=$P12,
               $U12/12,
               1
      ))),0),
    ROUNDDOWN(
      AJ12*IF(AJ12*$I12&lt;=$L12,$J12,$I12)*
      IF($P12=1,
         $S12/12,
         IF(AJ$4=1,
            $T12/12,
            IF(AJ$4=$P12,
               $U12/12,
               1
      ))),0),
    ROUND(
      AJ12*IF(AJ12*$I12&lt;=$L12,$J12,$I12)*
      IF($P12=1,
         $S12/12,
         IF(AJ$4=1,
            $T12/12,
            IF(AJ$4=$P12,
               $U12/12,
               1
      ))),0)
))))</f>
        <v>-</v>
      </c>
      <c r="AL12" s="56" t="str">
        <f ca="1">IF($H12=リスト!$AA$4,"-",
   IF($C12="-","-",
     IF(AL$4&gt;$P12,"-",
       IF(AL$4=1,$E12,OFFSET(AL12,0,-2)-OFFSET(AL12,0,-1)
))))</f>
        <v>-</v>
      </c>
      <c r="AM12" s="57" t="str">
        <f>IF($H12=リスト!$AA$4,"-",
 IF($C12="-","-",
  IF(AL$4&gt;$P12,"-",
   CHOOSE(MATCH($H$3,リスト!$AE$3:$AE$5,0),
    ROUNDUP(
      AL12*IF(AL12*$I12&lt;=$L12,$J12,$I12)*
      IF($P12=1,
         $S12/12,
         IF(AL$4=1,
            $T12/12,
            IF(AL$4=$P12,
               $U12/12,
               1
      ))),0),
    ROUNDDOWN(
      AL12*IF(AL12*$I12&lt;=$L12,$J12,$I12)*
      IF($P12=1,
         $S12/12,
         IF(AL$4=1,
            $T12/12,
            IF(AL$4=$P12,
               $U12/12,
               1
      ))),0),
    ROUND(
      AL12*IF(AL12*$I12&lt;=$L12,$J12,$I12)*
      IF($P12=1,
         $S12/12,
         IF(AL$4=1,
            $T12/12,
            IF(AL$4=$P12,
               $U12/12,
               1
      ))),0)
))))</f>
        <v>-</v>
      </c>
      <c r="AN12" s="56" t="str">
        <f ca="1">IF($H12=リスト!$AA$4,"-",
   IF($C12="-","-",
     IF(AN$4&gt;$P12,"-",
       IF(AN$4=1,$E12,OFFSET(AN12,0,-2)-OFFSET(AN12,0,-1)
))))</f>
        <v>-</v>
      </c>
      <c r="AO12" s="57" t="str">
        <f>IF($H12=リスト!$AA$4,"-",
 IF($C12="-","-",
  IF(AN$4&gt;$P12,"-",
   CHOOSE(MATCH($H$3,リスト!$AE$3:$AE$5,0),
    ROUNDUP(
      AN12*IF(AN12*$I12&lt;=$L12,$J12,$I12)*
      IF($P12=1,
         $S12/12,
         IF(AN$4=1,
            $T12/12,
            IF(AN$4=$P12,
               $U12/12,
               1
      ))),0),
    ROUNDDOWN(
      AN12*IF(AN12*$I12&lt;=$L12,$J12,$I12)*
      IF($P12=1,
         $S12/12,
         IF(AN$4=1,
            $T12/12,
            IF(AN$4=$P12,
               $U12/12,
               1
      ))),0),
    ROUND(
      AN12*IF(AN12*$I12&lt;=$L12,$J12,$I12)*
      IF($P12=1,
         $S12/12,
         IF(AN$4=1,
            $T12/12,
            IF(AN$4=$P12,
               $U12/12,
               1
      ))),0)
))))</f>
        <v>-</v>
      </c>
      <c r="AP12" s="56" t="str">
        <f ca="1">IF($H12=リスト!$AA$4,"-",
   IF($C12="-","-",
     IF(AP$4&gt;$P12,"-",
       IF(AP$4=1,$E12,OFFSET(AP12,0,-2)-OFFSET(AP12,0,-1)
))))</f>
        <v>-</v>
      </c>
      <c r="AQ12" s="57" t="str">
        <f>IF($H12=リスト!$AA$4,"-",
 IF($C12="-","-",
  IF(AP$4&gt;$P12,"-",
   CHOOSE(MATCH($H$3,リスト!$AE$3:$AE$5,0),
    ROUNDUP(
      AP12*IF(AP12*$I12&lt;=$L12,$J12,$I12)*
      IF($P12=1,
         $S12/12,
         IF(AP$4=1,
            $T12/12,
            IF(AP$4=$P12,
               $U12/12,
               1
      ))),0),
    ROUNDDOWN(
      AP12*IF(AP12*$I12&lt;=$L12,$J12,$I12)*
      IF($P12=1,
         $S12/12,
         IF(AP$4=1,
            $T12/12,
            IF(AP$4=$P12,
               $U12/12,
               1
      ))),0),
    ROUND(
      AP12*IF(AP12*$I12&lt;=$L12,$J12,$I12)*
      IF($P12=1,
         $S12/12,
         IF(AP$4=1,
            $T12/12,
            IF(AP$4=$P12,
               $U12/12,
               1
      ))),0)
))))</f>
        <v>-</v>
      </c>
      <c r="AR12" s="56" t="str">
        <f ca="1">IF($H12=リスト!$AA$4,"-",
   IF($C12="-","-",
     IF(AR$4&gt;$P12,"-",
       IF(AR$4=1,$E12,OFFSET(AR12,0,-2)-OFFSET(AR12,0,-1)
))))</f>
        <v>-</v>
      </c>
      <c r="AS12" s="57" t="str">
        <f>IF($H12=リスト!$AA$4,"-",
 IF($C12="-","-",
  IF(AR$4&gt;$P12,"-",
   CHOOSE(MATCH($H$3,リスト!$AE$3:$AE$5,0),
    ROUNDUP(
      AR12*IF(AR12*$I12&lt;=$L12,$J12,$I12)*
      IF($P12=1,
         $S12/12,
         IF(AR$4=1,
            $T12/12,
            IF(AR$4=$P12,
               $U12/12,
               1
      ))),0),
    ROUNDDOWN(
      AR12*IF(AR12*$I12&lt;=$L12,$J12,$I12)*
      IF($P12=1,
         $S12/12,
         IF(AR$4=1,
            $T12/12,
            IF(AR$4=$P12,
               $U12/12,
               1
      ))),0),
    ROUND(
      AR12*IF(AR12*$I12&lt;=$L12,$J12,$I12)*
      IF($P12=1,
         $S12/12,
         IF(AR$4=1,
            $T12/12,
            IF(AR$4=$P12,
               $U12/12,
               1
      ))),0)
))))</f>
        <v>-</v>
      </c>
      <c r="AT12" s="56" t="str">
        <f ca="1">IF($H12=リスト!$AA$4,"-",
   IF($C12="-","-",
     IF(AT$4&gt;$P12,"-",
       IF(AT$4=1,$E12,OFFSET(AT12,0,-2)-OFFSET(AT12,0,-1)
))))</f>
        <v>-</v>
      </c>
      <c r="AU12" s="57" t="str">
        <f>IF($H12=リスト!$AA$4,"-",
 IF($C12="-","-",
  IF(AT$4&gt;$P12,"-",
   CHOOSE(MATCH($H$3,リスト!$AE$3:$AE$5,0),
    ROUNDUP(
      AT12*IF(AT12*$I12&lt;=$L12,$J12,$I12)*
      IF($P12=1,
         $S12/12,
         IF(AT$4=1,
            $T12/12,
            IF(AT$4=$P12,
               $U12/12,
               1
      ))),0),
    ROUNDDOWN(
      AT12*IF(AT12*$I12&lt;=$L12,$J12,$I12)*
      IF($P12=1,
         $S12/12,
         IF(AT$4=1,
            $T12/12,
            IF(AT$4=$P12,
               $U12/12,
               1
      ))),0),
    ROUND(
      AT12*IF(AT12*$I12&lt;=$L12,$J12,$I12)*
      IF($P12=1,
         $S12/12,
         IF(AT$4=1,
            $T12/12,
            IF(AT$4=$P12,
               $U12/12,
               1
      ))),0)
))))</f>
        <v>-</v>
      </c>
      <c r="AV12" s="56" t="str">
        <f ca="1">IF($H12=リスト!$AA$4,"-",
   IF($C12="-","-",
     IF(AV$4&gt;$P12,"-",
       IF(AV$4=1,$E12,OFFSET(AV12,0,-2)-OFFSET(AV12,0,-1)
))))</f>
        <v>-</v>
      </c>
      <c r="AW12" s="57" t="str">
        <f>IF($H12=リスト!$AA$4,"-",
 IF($C12="-","-",
  IF(AV$4&gt;$P12,"-",
   CHOOSE(MATCH($H$3,リスト!$AE$3:$AE$5,0),
    ROUNDUP(
      AV12*IF(AV12*$I12&lt;=$L12,$J12,$I12)*
      IF($P12=1,
         $S12/12,
         IF(AV$4=1,
            $T12/12,
            IF(AV$4=$P12,
               $U12/12,
               1
      ))),0),
    ROUNDDOWN(
      AV12*IF(AV12*$I12&lt;=$L12,$J12,$I12)*
      IF($P12=1,
         $S12/12,
         IF(AV$4=1,
            $T12/12,
            IF(AV$4=$P12,
               $U12/12,
               1
      ))),0),
    ROUND(
      AV12*IF(AV12*$I12&lt;=$L12,$J12,$I12)*
      IF($P12=1,
         $S12/12,
         IF(AV$4=1,
            $T12/12,
            IF(AV$4=$P12,
               $U12/12,
               1
      ))),0)
))))</f>
        <v>-</v>
      </c>
      <c r="AX12" s="56" t="str">
        <f ca="1">IF($H12=リスト!$AA$4,"-",
   IF($C12="-","-",
     IF(AX$4&gt;$P12,"-",
       IF(AX$4=1,$E12,OFFSET(AX12,0,-2)-OFFSET(AX12,0,-1)
))))</f>
        <v>-</v>
      </c>
      <c r="AY12" s="57" t="str">
        <f>IF($H12=リスト!$AA$4,"-",
 IF($C12="-","-",
  IF(AX$4&gt;$P12,"-",
   CHOOSE(MATCH($H$3,リスト!$AE$3:$AE$5,0),
    ROUNDUP(
      AX12*IF(AX12*$I12&lt;=$L12,$J12,$I12)*
      IF($P12=1,
         $S12/12,
         IF(AX$4=1,
            $T12/12,
            IF(AX$4=$P12,
               $U12/12,
               1
      ))),0),
    ROUNDDOWN(
      AX12*IF(AX12*$I12&lt;=$L12,$J12,$I12)*
      IF($P12=1,
         $S12/12,
         IF(AX$4=1,
            $T12/12,
            IF(AX$4=$P12,
               $U12/12,
               1
      ))),0),
    ROUND(
      AX12*IF(AX12*$I12&lt;=$L12,$J12,$I12)*
      IF($P12=1,
         $S12/12,
         IF(AX$4=1,
            $T12/12,
            IF(AX$4=$P12,
               $U12/12,
               1
      ))),0)
))))</f>
        <v>-</v>
      </c>
      <c r="AZ12" s="56" t="str">
        <f ca="1">IF($H12=リスト!$AA$4,"-",
   IF($C12="-","-",
     IF(AZ$4&gt;$P12,"-",
       IF(AZ$4=1,$E12,OFFSET(AZ12,0,-2)-OFFSET(AZ12,0,-1)
))))</f>
        <v>-</v>
      </c>
      <c r="BA12" s="57" t="str">
        <f>IF($H12=リスト!$AA$4,"-",
 IF($C12="-","-",
  IF(AZ$4&gt;$P12,"-",
   CHOOSE(MATCH($H$3,リスト!$AE$3:$AE$5,0),
    ROUNDUP(
      AZ12*IF(AZ12*$I12&lt;=$L12,$J12,$I12)*
      IF($P12=1,
         $S12/12,
         IF(AZ$4=1,
            $T12/12,
            IF(AZ$4=$P12,
               $U12/12,
               1
      ))),0),
    ROUNDDOWN(
      AZ12*IF(AZ12*$I12&lt;=$L12,$J12,$I12)*
      IF($P12=1,
         $S12/12,
         IF(AZ$4=1,
            $T12/12,
            IF(AZ$4=$P12,
               $U12/12,
               1
      ))),0),
    ROUND(
      AZ12*IF(AZ12*$I12&lt;=$L12,$J12,$I12)*
      IF($P12=1,
         $S12/12,
         IF(AZ$4=1,
            $T12/12,
            IF(AZ$4=$P12,
               $U12/12,
               1
      ))),0)
))))</f>
        <v>-</v>
      </c>
      <c r="BB12" s="56" t="str">
        <f ca="1">IF($H12=リスト!$AA$4,"-",
   IF($C12="-","-",
     IF(BB$4&gt;$P12,"-",
       IF(BB$4=1,$E12,OFFSET(BB12,0,-2)-OFFSET(BB12,0,-1)
))))</f>
        <v>-</v>
      </c>
      <c r="BC12" s="57" t="str">
        <f>IF($H12=リスト!$AA$4,"-",
 IF($C12="-","-",
  IF(BB$4&gt;$P12,"-",
   CHOOSE(MATCH($H$3,リスト!$AE$3:$AE$5,0),
    ROUNDUP(
      BB12*IF(BB12*$I12&lt;=$L12,$J12,$I12)*
      IF($P12=1,
         $S12/12,
         IF(BB$4=1,
            $T12/12,
            IF(BB$4=$P12,
               $U12/12,
               1
      ))),0),
    ROUNDDOWN(
      BB12*IF(BB12*$I12&lt;=$L12,$J12,$I12)*
      IF($P12=1,
         $S12/12,
         IF(BB$4=1,
            $T12/12,
            IF(BB$4=$P12,
               $U12/12,
               1
      ))),0),
    ROUND(
      BB12*IF(BB12*$I12&lt;=$L12,$J12,$I12)*
      IF($P12=1,
         $S12/12,
         IF(BB$4=1,
            $T12/12,
            IF(BB$4=$P12,
               $U12/12,
               1
      ))),0)
))))</f>
        <v>-</v>
      </c>
      <c r="BD12" s="56" t="str">
        <f ca="1">IF($H12=リスト!$AA$4,"-",
   IF($C12="-","-",
     IF(BD$4&gt;$P12,"-",
       IF(BD$4=1,$E12,OFFSET(BD12,0,-2)-OFFSET(BD12,0,-1)
))))</f>
        <v>-</v>
      </c>
      <c r="BE12" s="57" t="str">
        <f>IF($H12=リスト!$AA$4,"-",
 IF($C12="-","-",
  IF(BD$4&gt;$P12,"-",
   CHOOSE(MATCH($H$3,リスト!$AE$3:$AE$5,0),
    ROUNDUP(
      BD12*IF(BD12*$I12&lt;=$L12,$J12,$I12)*
      IF($P12=1,
         $S12/12,
         IF(BD$4=1,
            $T12/12,
            IF(BD$4=$P12,
               $U12/12,
               1
      ))),0),
    ROUNDDOWN(
      BD12*IF(BD12*$I12&lt;=$L12,$J12,$I12)*
      IF($P12=1,
         $S12/12,
         IF(BD$4=1,
            $T12/12,
            IF(BD$4=$P12,
               $U12/12,
               1
      ))),0),
    ROUND(
      BD12*IF(BD12*$I12&lt;=$L12,$J12,$I12)*
      IF($P12=1,
         $S12/12,
         IF(BD$4=1,
            $T12/12,
            IF(BD$4=$P12,
               $U12/12,
               1
      ))),0)
))))</f>
        <v>-</v>
      </c>
      <c r="BF12" s="56" t="str">
        <f ca="1">IF($H12=リスト!$AA$4,"-",
   IF($C12="-","-",
     IF(BF$4&gt;$P12,"-",
       IF(BF$4=1,$E12,OFFSET(BF12,0,-2)-OFFSET(BF12,0,-1)
))))</f>
        <v>-</v>
      </c>
      <c r="BG12" s="57" t="str">
        <f>IF($H12=リスト!$AA$4,"-",
 IF($C12="-","-",
  IF(BF$4&gt;$P12,"-",
   CHOOSE(MATCH($H$3,リスト!$AE$3:$AE$5,0),
    ROUNDUP(
      BF12*IF(BF12*$I12&lt;=$L12,$J12,$I12)*
      IF($P12=1,
         $S12/12,
         IF(BF$4=1,
            $T12/12,
            IF(BF$4=$P12,
               $U12/12,
               1
      ))),0),
    ROUNDDOWN(
      BF12*IF(BF12*$I12&lt;=$L12,$J12,$I12)*
      IF($P12=1,
         $S12/12,
         IF(BF$4=1,
            $T12/12,
            IF(BF$4=$P12,
               $U12/12,
               1
      ))),0),
    ROUND(
      BF12*IF(BF12*$I12&lt;=$L12,$J12,$I12)*
      IF($P12=1,
         $S12/12,
         IF(BF$4=1,
            $T12/12,
            IF(BF$4=$P12,
               $U12/12,
               1
      ))),0)
))))</f>
        <v>-</v>
      </c>
      <c r="BH12" s="56" t="str">
        <f ca="1">IF($H12=リスト!$AA$4,"-",
   IF($C12="-","-",
     IF(BH$4&gt;$P12,"-",
       IF(BH$4=1,$E12,OFFSET(BH12,0,-2)-OFFSET(BH12,0,-1)
))))</f>
        <v>-</v>
      </c>
      <c r="BI12" s="57" t="str">
        <f>IF($H12=リスト!$AA$4,"-",
 IF($C12="-","-",
  IF(BH$4&gt;$P12,"-",
   CHOOSE(MATCH($H$3,リスト!$AE$3:$AE$5,0),
    ROUNDUP(
      BH12*IF(BH12*$I12&lt;=$L12,$J12,$I12)*
      IF($P12=1,
         $S12/12,
         IF(BH$4=1,
            $T12/12,
            IF(BH$4=$P12,
               $U12/12,
               1
      ))),0),
    ROUNDDOWN(
      BH12*IF(BH12*$I12&lt;=$L12,$J12,$I12)*
      IF($P12=1,
         $S12/12,
         IF(BH$4=1,
            $T12/12,
            IF(BH$4=$P12,
               $U12/12,
               1
      ))),0),
    ROUND(
      BH12*IF(BH12*$I12&lt;=$L12,$J12,$I12)*
      IF($P12=1,
         $S12/12,
         IF(BH$4=1,
            $T12/12,
            IF(BH$4=$P12,
               $U12/12,
               1
      ))),0)
))))</f>
        <v>-</v>
      </c>
      <c r="BJ12" s="56" t="str">
        <f ca="1">IF($H12=リスト!$AA$4,"-",
   IF($C12="-","-",
     IF(BJ$4&gt;$P12,"-",
       IF(BJ$4=1,$E12,OFFSET(BJ12,0,-2)-OFFSET(BJ12,0,-1)
))))</f>
        <v>-</v>
      </c>
      <c r="BK12" s="57" t="str">
        <f>IF($H12=リスト!$AA$4,"-",
 IF($C12="-","-",
  IF(BJ$4&gt;$P12,"-",
   CHOOSE(MATCH($H$3,リスト!$AE$3:$AE$5,0),
    ROUNDUP(
      BJ12*IF(BJ12*$I12&lt;=$L12,$J12,$I12)*
      IF($P12=1,
         $S12/12,
         IF(BJ$4=1,
            $T12/12,
            IF(BJ$4=$P12,
               $U12/12,
               1
      ))),0),
    ROUNDDOWN(
      BJ12*IF(BJ12*$I12&lt;=$L12,$J12,$I12)*
      IF($P12=1,
         $S12/12,
         IF(BJ$4=1,
            $T12/12,
            IF(BJ$4=$P12,
               $U12/12,
               1
      ))),0),
    ROUND(
      BJ12*IF(BJ12*$I12&lt;=$L12,$J12,$I12)*
      IF($P12=1,
         $S12/12,
         IF(BJ$4=1,
            $T12/12,
            IF(BJ$4=$P12,
               $U12/12,
               1
      ))),0)
))))</f>
        <v>-</v>
      </c>
      <c r="BL12" s="56" t="str">
        <f ca="1">IF($H12=リスト!$AA$4,"-",
   IF($C12="-","-",
     IF(BL$4&gt;$P12,"-",
       IF(BL$4=1,$E12,OFFSET(BL12,0,-2)-OFFSET(BL12,0,-1)
))))</f>
        <v>-</v>
      </c>
      <c r="BM12" s="57" t="str">
        <f>IF($H12=リスト!$AA$4,"-",
 IF($C12="-","-",
  IF(BL$4&gt;$P12,"-",
   CHOOSE(MATCH($H$3,リスト!$AE$3:$AE$5,0),
    ROUNDUP(
      BL12*IF(BL12*$I12&lt;=$L12,$J12,$I12)*
      IF($P12=1,
         $S12/12,
         IF(BL$4=1,
            $T12/12,
            IF(BL$4=$P12,
               $U12/12,
               1
      ))),0),
    ROUNDDOWN(
      BL12*IF(BL12*$I12&lt;=$L12,$J12,$I12)*
      IF($P12=1,
         $S12/12,
         IF(BL$4=1,
            $T12/12,
            IF(BL$4=$P12,
               $U12/12,
               1
      ))),0),
    ROUND(
      BL12*IF(BL12*$I12&lt;=$L12,$J12,$I12)*
      IF($P12=1,
         $S12/12,
         IF(BL$4=1,
            $T12/12,
            IF(BL$4=$P12,
               $U12/12,
               1
      ))),0)
))))</f>
        <v>-</v>
      </c>
      <c r="BN12" s="56" t="str">
        <f ca="1">IF($H12=リスト!$AA$4,"-",
   IF($C12="-","-",
     IF(BN$4&gt;$P12,"-",
       IF(BN$4=1,$E12,OFFSET(BN12,0,-2)-OFFSET(BN12,0,-1)
))))</f>
        <v>-</v>
      </c>
      <c r="BO12" s="57" t="str">
        <f>IF($H12=リスト!$AA$4,"-",
 IF($C12="-","-",
  IF(BN$4&gt;$P12,"-",
   CHOOSE(MATCH($H$3,リスト!$AE$3:$AE$5,0),
    ROUNDUP(
      BN12*IF(BN12*$I12&lt;=$L12,$J12,$I12)*
      IF($P12=1,
         $S12/12,
         IF(BN$4=1,
            $T12/12,
            IF(BN$4=$P12,
               $U12/12,
               1
      ))),0),
    ROUNDDOWN(
      BN12*IF(BN12*$I12&lt;=$L12,$J12,$I12)*
      IF($P12=1,
         $S12/12,
         IF(BN$4=1,
            $T12/12,
            IF(BN$4=$P12,
               $U12/12,
               1
      ))),0),
    ROUND(
      BN12*IF(BN12*$I12&lt;=$L12,$J12,$I12)*
      IF($P12=1,
         $S12/12,
         IF(BN$4=1,
            $T12/12,
            IF(BN$4=$P12,
               $U12/12,
               1
      ))),0)
))))</f>
        <v>-</v>
      </c>
      <c r="BP12" s="56" t="str">
        <f ca="1">IF($H12=リスト!$AA$4,"-",
   IF($C12="-","-",
     IF(BP$4&gt;$P12,"-",
       IF(BP$4=1,$E12,OFFSET(BP12,0,-2)-OFFSET(BP12,0,-1)
))))</f>
        <v>-</v>
      </c>
      <c r="BQ12" s="57" t="str">
        <f>IF($H12=リスト!$AA$4,"-",
 IF($C12="-","-",
  IF(BP$4&gt;$P12,"-",
   CHOOSE(MATCH($H$3,リスト!$AE$3:$AE$5,0),
    ROUNDUP(
      BP12*IF(BP12*$I12&lt;=$L12,$J12,$I12)*
      IF($P12=1,
         $S12/12,
         IF(BP$4=1,
            $T12/12,
            IF(BP$4=$P12,
               $U12/12,
               1
      ))),0),
    ROUNDDOWN(
      BP12*IF(BP12*$I12&lt;=$L12,$J12,$I12)*
      IF($P12=1,
         $S12/12,
         IF(BP$4=1,
            $T12/12,
            IF(BP$4=$P12,
               $U12/12,
               1
      ))),0),
    ROUND(
      BP12*IF(BP12*$I12&lt;=$L12,$J12,$I12)*
      IF($P12=1,
         $S12/12,
         IF(BP$4=1,
            $T12/12,
            IF(BP$4=$P12,
               $U12/12,
               1
      ))),0)
))))</f>
        <v>-</v>
      </c>
      <c r="BR12" s="56" t="str">
        <f ca="1">IF($H12=リスト!$AA$4,"-",
   IF($C12="-","-",
     IF(BR$4&gt;$P12,"-",
       IF(BR$4=1,$E12,OFFSET(BR12,0,-2)-OFFSET(BR12,0,-1)
))))</f>
        <v>-</v>
      </c>
      <c r="BS12" s="57" t="str">
        <f>IF($H12=リスト!$AA$4,"-",
 IF($C12="-","-",
  IF(BR$4&gt;$P12,"-",
   CHOOSE(MATCH($H$3,リスト!$AE$3:$AE$5,0),
    ROUNDUP(
      BR12*IF(BR12*$I12&lt;=$L12,$J12,$I12)*
      IF($P12=1,
         $S12/12,
         IF(BR$4=1,
            $T12/12,
            IF(BR$4=$P12,
               $U12/12,
               1
      ))),0),
    ROUNDDOWN(
      BR12*IF(BR12*$I12&lt;=$L12,$J12,$I12)*
      IF($P12=1,
         $S12/12,
         IF(BR$4=1,
            $T12/12,
            IF(BR$4=$P12,
               $U12/12,
               1
      ))),0),
    ROUND(
      BR12*IF(BR12*$I12&lt;=$L12,$J12,$I12)*
      IF($P12=1,
         $S12/12,
         IF(BR$4=1,
            $T12/12,
            IF(BR$4=$P12,
               $U12/12,
               1
      ))),0)
))))</f>
        <v>-</v>
      </c>
      <c r="BT12" s="56" t="str">
        <f ca="1">IF($H12=リスト!$AA$4,"-",
   IF($C12="-","-",
     IF(BT$4&gt;$P12,"-",
       IF(BT$4=1,$E12,OFFSET(BT12,0,-2)-OFFSET(BT12,0,-1)
))))</f>
        <v>-</v>
      </c>
      <c r="BU12" s="57" t="str">
        <f>IF($H12=リスト!$AA$4,"-",
 IF($C12="-","-",
  IF(BT$4&gt;$P12,"-",
   CHOOSE(MATCH($H$3,リスト!$AE$3:$AE$5,0),
    ROUNDUP(
      BT12*IF(BT12*$I12&lt;=$L12,$J12,$I12)*
      IF($P12=1,
         $S12/12,
         IF(BT$4=1,
            $T12/12,
            IF(BT$4=$P12,
               $U12/12,
               1
      ))),0),
    ROUNDDOWN(
      BT12*IF(BT12*$I12&lt;=$L12,$J12,$I12)*
      IF($P12=1,
         $S12/12,
         IF(BT$4=1,
            $T12/12,
            IF(BT$4=$P12,
               $U12/12,
               1
      ))),0),
    ROUND(
      BT12*IF(BT12*$I12&lt;=$L12,$J12,$I12)*
      IF($P12=1,
         $S12/12,
         IF(BT$4=1,
            $T12/12,
            IF(BT$4=$P12,
               $U12/12,
               1
      ))),0)
))))</f>
        <v>-</v>
      </c>
      <c r="BV12" s="56" t="str">
        <f ca="1">IF($H12=リスト!$AA$4,"-",
   IF($C12="-","-",
     IF(BV$4&gt;$P12,"-",
       IF(BV$4=1,$E12,OFFSET(BV12,0,-2)-OFFSET(BV12,0,-1)
))))</f>
        <v>-</v>
      </c>
      <c r="BW12" s="57" t="str">
        <f>IF($H12=リスト!$AA$4,"-",
 IF($C12="-","-",
  IF(BV$4&gt;$P12,"-",
   CHOOSE(MATCH($H$3,リスト!$AE$3:$AE$5,0),
    ROUNDUP(
      BV12*IF(BV12*$I12&lt;=$L12,$J12,$I12)*
      IF($P12=1,
         $S12/12,
         IF(BV$4=1,
            $T12/12,
            IF(BV$4=$P12,
               $U12/12,
               1
      ))),0),
    ROUNDDOWN(
      BV12*IF(BV12*$I12&lt;=$L12,$J12,$I12)*
      IF($P12=1,
         $S12/12,
         IF(BV$4=1,
            $T12/12,
            IF(BV$4=$P12,
               $U12/12,
               1
      ))),0),
    ROUND(
      BV12*IF(BV12*$I12&lt;=$L12,$J12,$I12)*
      IF($P12=1,
         $S12/12,
         IF(BV$4=1,
            $T12/12,
            IF(BV$4=$P12,
               $U12/12,
               1
      ))),0)
))))</f>
        <v>-</v>
      </c>
      <c r="BX12" s="56" t="str">
        <f ca="1">IF($H12=リスト!$AA$4,"-",
   IF($C12="-","-",
     IF(BX$4&gt;$P12,"-",
       IF(BX$4=1,$E12,OFFSET(BX12,0,-2)-OFFSET(BX12,0,-1)
))))</f>
        <v>-</v>
      </c>
      <c r="BY12" s="57" t="str">
        <f>IF($H12=リスト!$AA$4,"-",
 IF($C12="-","-",
  IF(BX$4&gt;$P12,"-",
   CHOOSE(MATCH($H$3,リスト!$AE$3:$AE$5,0),
    ROUNDUP(
      BX12*IF(BX12*$I12&lt;=$L12,$J12,$I12)*
      IF($P12=1,
         $S12/12,
         IF(BX$4=1,
            $T12/12,
            IF(BX$4=$P12,
               $U12/12,
               1
      ))),0),
    ROUNDDOWN(
      BX12*IF(BX12*$I12&lt;=$L12,$J12,$I12)*
      IF($P12=1,
         $S12/12,
         IF(BX$4=1,
            $T12/12,
            IF(BX$4=$P12,
               $U12/12,
               1
      ))),0),
    ROUND(
      BX12*IF(BX12*$I12&lt;=$L12,$J12,$I12)*
      IF($P12=1,
         $S12/12,
         IF(BX$4=1,
            $T12/12,
            IF(BX$4=$P12,
               $U12/12,
               1
      ))),0)
))))</f>
        <v>-</v>
      </c>
      <c r="BZ12" s="56" t="str">
        <f ca="1">IF($H12=リスト!$AA$4,"-",
   IF($C12="-","-",
     IF(BZ$4&gt;$P12,"-",
       IF(BZ$4=1,$E12,OFFSET(BZ12,0,-2)-OFFSET(BZ12,0,-1)
))))</f>
        <v>-</v>
      </c>
      <c r="CA12" s="57" t="str">
        <f>IF($H12=リスト!$AA$4,"-",
 IF($C12="-","-",
  IF(BZ$4&gt;$P12,"-",
   CHOOSE(MATCH($H$3,リスト!$AE$3:$AE$5,0),
    ROUNDUP(
      BZ12*IF(BZ12*$I12&lt;=$L12,$J12,$I12)*
      IF($P12=1,
         $S12/12,
         IF(BZ$4=1,
            $T12/12,
            IF(BZ$4=$P12,
               $U12/12,
               1
      ))),0),
    ROUNDDOWN(
      BZ12*IF(BZ12*$I12&lt;=$L12,$J12,$I12)*
      IF($P12=1,
         $S12/12,
         IF(BZ$4=1,
            $T12/12,
            IF(BZ$4=$P12,
               $U12/12,
               1
      ))),0),
    ROUND(
      BZ12*IF(BZ12*$I12&lt;=$L12,$J12,$I12)*
      IF($P12=1,
         $S12/12,
         IF(BZ$4=1,
            $T12/12,
            IF(BZ$4=$P12,
               $U12/12,
               1
      ))),0)
))))</f>
        <v>-</v>
      </c>
      <c r="CB12" s="56" t="str">
        <f ca="1">IF($H12=リスト!$AA$4,"-",
   IF($C12="-","-",
     IF(CB$4&gt;$P12,"-",
       IF(CB$4=1,$E12,OFFSET(CB12,0,-2)-OFFSET(CB12,0,-1)
))))</f>
        <v>-</v>
      </c>
      <c r="CC12" s="57" t="str">
        <f>IF($H12=リスト!$AA$4,"-",
 IF($C12="-","-",
  IF(CB$4&gt;$P12,"-",
   CHOOSE(MATCH($H$3,リスト!$AE$3:$AE$5,0),
    ROUNDUP(
      CB12*IF(CB12*$I12&lt;=$L12,$J12,$I12)*
      IF($P12=1,
         $S12/12,
         IF(CB$4=1,
            $T12/12,
            IF(CB$4=$P12,
               $U12/12,
               1
      ))),0),
    ROUNDDOWN(
      CB12*IF(CB12*$I12&lt;=$L12,$J12,$I12)*
      IF($P12=1,
         $S12/12,
         IF(CB$4=1,
            $T12/12,
            IF(CB$4=$P12,
               $U12/12,
               1
      ))),0),
    ROUND(
      CB12*IF(CB12*$I12&lt;=$L12,$J12,$I12)*
      IF($P12=1,
         $S12/12,
         IF(CB$4=1,
            $T12/12,
            IF(CB$4=$P12,
               $U12/12,
               1
      ))),0)
))))</f>
        <v>-</v>
      </c>
      <c r="CD12" s="56" t="str">
        <f ca="1">IF($H12=リスト!$AA$4,"-",
   IF($C12="-","-",
     IF(CD$4&gt;$P12,"-",
       IF(CD$4=1,$E12,OFFSET(CD12,0,-2)-OFFSET(CD12,0,-1)
))))</f>
        <v>-</v>
      </c>
      <c r="CE12" s="57" t="str">
        <f>IF($H12=リスト!$AA$4,"-",
 IF($C12="-","-",
  IF(CD$4&gt;$P12,"-",
   CHOOSE(MATCH($H$3,リスト!$AE$3:$AE$5,0),
    ROUNDUP(
      CD12*IF(CD12*$I12&lt;=$L12,$J12,$I12)*
      IF($P12=1,
         $S12/12,
         IF(CD$4=1,
            $T12/12,
            IF(CD$4=$P12,
               $U12/12,
               1
      ))),0),
    ROUNDDOWN(
      CD12*IF(CD12*$I12&lt;=$L12,$J12,$I12)*
      IF($P12=1,
         $S12/12,
         IF(CD$4=1,
            $T12/12,
            IF(CD$4=$P12,
               $U12/12,
               1
      ))),0),
    ROUND(
      CD12*IF(CD12*$I12&lt;=$L12,$J12,$I12)*
      IF($P12=1,
         $S12/12,
         IF(CD$4=1,
            $T12/12,
            IF(CD$4=$P12,
               $U12/12,
               1
      ))),0)
))))</f>
        <v>-</v>
      </c>
      <c r="CF12" s="56" t="str">
        <f ca="1">IF($H12=リスト!$AA$4,"-",
   IF($C12="-","-",
     IF(CF$4&gt;$P12,"-",
       IF(CF$4=1,$E12,OFFSET(CF12,0,-2)-OFFSET(CF12,0,-1)
))))</f>
        <v>-</v>
      </c>
      <c r="CG12" s="57" t="str">
        <f>IF($H12=リスト!$AA$4,"-",
 IF($C12="-","-",
  IF(CF$4&gt;$P12,"-",
   CHOOSE(MATCH($H$3,リスト!$AE$3:$AE$5,0),
    ROUNDUP(
      CF12*IF(CF12*$I12&lt;=$L12,$J12,$I12)*
      IF($P12=1,
         $S12/12,
         IF(CF$4=1,
            $T12/12,
            IF(CF$4=$P12,
               $U12/12,
               1
      ))),0),
    ROUNDDOWN(
      CF12*IF(CF12*$I12&lt;=$L12,$J12,$I12)*
      IF($P12=1,
         $S12/12,
         IF(CF$4=1,
            $T12/12,
            IF(CF$4=$P12,
               $U12/12,
               1
      ))),0),
    ROUND(
      CF12*IF(CF12*$I12&lt;=$L12,$J12,$I12)*
      IF($P12=1,
         $S12/12,
         IF(CF$4=1,
            $T12/12,
            IF(CF$4=$P12,
               $U12/12,
               1
      ))),0)
))))</f>
        <v>-</v>
      </c>
      <c r="CH12" s="56" t="str">
        <f ca="1">IF($H12=リスト!$AA$4,"-",
   IF($C12="-","-",
     IF(CH$4&gt;$P12,"-",
       IF(CH$4=1,$E12,OFFSET(CH12,0,-2)-OFFSET(CH12,0,-1)
))))</f>
        <v>-</v>
      </c>
      <c r="CI12" s="57" t="str">
        <f>IF($H12=リスト!$AA$4,"-",
 IF($C12="-","-",
  IF(CH$4&gt;$P12,"-",
   CHOOSE(MATCH($H$3,リスト!$AE$3:$AE$5,0),
    ROUNDUP(
      CH12*IF(CH12*$I12&lt;=$L12,$J12,$I12)*
      IF($P12=1,
         $S12/12,
         IF(CH$4=1,
            $T12/12,
            IF(CH$4=$P12,
               $U12/12,
               1
      ))),0),
    ROUNDDOWN(
      CH12*IF(CH12*$I12&lt;=$L12,$J12,$I12)*
      IF($P12=1,
         $S12/12,
         IF(CH$4=1,
            $T12/12,
            IF(CH$4=$P12,
               $U12/12,
               1
      ))),0),
    ROUND(
      CH12*IF(CH12*$I12&lt;=$L12,$J12,$I12)*
      IF($P12=1,
         $S12/12,
         IF(CH$4=1,
            $T12/12,
            IF(CH$4=$P12,
               $U12/12,
               1
      ))),0)
))))</f>
        <v>-</v>
      </c>
      <c r="CJ12" s="56" t="str">
        <f ca="1">IF($H12=リスト!$AA$4,"-",
   IF($C12="-","-",
     IF(CJ$4&gt;$P12,"-",
       IF(CJ$4=1,$E12,OFFSET(CJ12,0,-2)-OFFSET(CJ12,0,-1)
))))</f>
        <v>-</v>
      </c>
      <c r="CK12" s="57" t="str">
        <f>IF($H12=リスト!$AA$4,"-",
 IF($C12="-","-",
  IF(CJ$4&gt;$P12,"-",
   CHOOSE(MATCH($H$3,リスト!$AE$3:$AE$5,0),
    ROUNDUP(
      CJ12*IF(CJ12*$I12&lt;=$L12,$J12,$I12)*
      IF($P12=1,
         $S12/12,
         IF(CJ$4=1,
            $T12/12,
            IF(CJ$4=$P12,
               $U12/12,
               1
      ))),0),
    ROUNDDOWN(
      CJ12*IF(CJ12*$I12&lt;=$L12,$J12,$I12)*
      IF($P12=1,
         $S12/12,
         IF(CJ$4=1,
            $T12/12,
            IF(CJ$4=$P12,
               $U12/12,
               1
      ))),0),
    ROUND(
      CJ12*IF(CJ12*$I12&lt;=$L12,$J12,$I12)*
      IF($P12=1,
         $S12/12,
         IF(CJ$4=1,
            $T12/12,
            IF(CJ$4=$P12,
               $U12/12,
               1
      ))),0)
))))</f>
        <v>-</v>
      </c>
      <c r="CL12" s="56" t="str">
        <f ca="1">IF($H12=リスト!$AA$4,"-",
   IF($C12="-","-",
     IF(CL$4&gt;$P12,"-",
       IF(CL$4=1,$E12,OFFSET(CL12,0,-2)-OFFSET(CL12,0,-1)
))))</f>
        <v>-</v>
      </c>
      <c r="CM12" s="57" t="str">
        <f>IF($H12=リスト!$AA$4,"-",
 IF($C12="-","-",
  IF(CL$4&gt;$P12,"-",
   CHOOSE(MATCH($H$3,リスト!$AE$3:$AE$5,0),
    ROUNDUP(
      CL12*IF(CL12*$I12&lt;=$L12,$J12,$I12)*
      IF($P12=1,
         $S12/12,
         IF(CL$4=1,
            $T12/12,
            IF(CL$4=$P12,
               $U12/12,
               1
      ))),0),
    ROUNDDOWN(
      CL12*IF(CL12*$I12&lt;=$L12,$J12,$I12)*
      IF($P12=1,
         $S12/12,
         IF(CL$4=1,
            $T12/12,
            IF(CL$4=$P12,
               $U12/12,
               1
      ))),0),
    ROUND(
      CL12*IF(CL12*$I12&lt;=$L12,$J12,$I12)*
      IF($P12=1,
         $S12/12,
         IF(CL$4=1,
            $T12/12,
            IF(CL$4=$P12,
               $U12/12,
               1
      ))),0)
))))</f>
        <v>-</v>
      </c>
      <c r="CN12" s="56" t="str">
        <f ca="1">IF($H12=リスト!$AA$4,"-",
   IF($C12="-","-",
     IF(CN$4&gt;$P12,"-",
       IF(CN$4=1,$E12,OFFSET(CN12,0,-2)-OFFSET(CN12,0,-1)
))))</f>
        <v>-</v>
      </c>
      <c r="CO12" s="57" t="str">
        <f>IF($H12=リスト!$AA$4,"-",
 IF($C12="-","-",
  IF(CN$4&gt;$P12,"-",
   CHOOSE(MATCH($H$3,リスト!$AE$3:$AE$5,0),
    ROUNDUP(
      CN12*IF(CN12*$I12&lt;=$L12,$J12,$I12)*
      IF($P12=1,
         $S12/12,
         IF(CN$4=1,
            $T12/12,
            IF(CN$4=$P12,
               $U12/12,
               1
      ))),0),
    ROUNDDOWN(
      CN12*IF(CN12*$I12&lt;=$L12,$J12,$I12)*
      IF($P12=1,
         $S12/12,
         IF(CN$4=1,
            $T12/12,
            IF(CN$4=$P12,
               $U12/12,
               1
      ))),0),
    ROUND(
      CN12*IF(CN12*$I12&lt;=$L12,$J12,$I12)*
      IF($P12=1,
         $S12/12,
         IF(CN$4=1,
            $T12/12,
            IF(CN$4=$P12,
               $U12/12,
               1
      ))),0)
))))</f>
        <v>-</v>
      </c>
      <c r="CP12" s="56" t="str">
        <f ca="1">IF($H12=リスト!$AA$4,"-",
   IF($C12="-","-",
     IF(CP$4&gt;$P12,"-",
       IF(CP$4=1,$E12,OFFSET(CP12,0,-2)-OFFSET(CP12,0,-1)
))))</f>
        <v>-</v>
      </c>
      <c r="CQ12" s="57" t="str">
        <f>IF($H12=リスト!$AA$4,"-",
 IF($C12="-","-",
  IF(CP$4&gt;$P12,"-",
   CHOOSE(MATCH($H$3,リスト!$AE$3:$AE$5,0),
    ROUNDUP(
      CP12*IF(CP12*$I12&lt;=$L12,$J12,$I12)*
      IF($P12=1,
         $S12/12,
         IF(CP$4=1,
            $T12/12,
            IF(CP$4=$P12,
               $U12/12,
               1
      ))),0),
    ROUNDDOWN(
      CP12*IF(CP12*$I12&lt;=$L12,$J12,$I12)*
      IF($P12=1,
         $S12/12,
         IF(CP$4=1,
            $T12/12,
            IF(CP$4=$P12,
               $U12/12,
               1
      ))),0),
    ROUND(
      CP12*IF(CP12*$I12&lt;=$L12,$J12,$I12)*
      IF($P12=1,
         $S12/12,
         IF(CP$4=1,
            $T12/12,
            IF(CP$4=$P12,
               $U12/12,
               1
      ))),0)
))))</f>
        <v>-</v>
      </c>
      <c r="CR12" s="56" t="str">
        <f ca="1">IF($H12=リスト!$AA$4,"-",
   IF($C12="-","-",
     IF(CR$4&gt;$P12,"-",
       IF(CR$4=1,$E12,OFFSET(CR12,0,-2)-OFFSET(CR12,0,-1)
))))</f>
        <v>-</v>
      </c>
      <c r="CS12" s="57" t="str">
        <f>IF($H12=リスト!$AA$4,"-",
 IF($C12="-","-",
  IF(CR$4&gt;$P12,"-",
   CHOOSE(MATCH($H$3,リスト!$AE$3:$AE$5,0),
    ROUNDUP(
      CR12*IF(CR12*$I12&lt;=$L12,$J12,$I12)*
      IF($P12=1,
         $S12/12,
         IF(CR$4=1,
            $T12/12,
            IF(CR$4=$P12,
               $U12/12,
               1
      ))),0),
    ROUNDDOWN(
      CR12*IF(CR12*$I12&lt;=$L12,$J12,$I12)*
      IF($P12=1,
         $S12/12,
         IF(CR$4=1,
            $T12/12,
            IF(CR$4=$P12,
               $U12/12,
               1
      ))),0),
    ROUND(
      CR12*IF(CR12*$I12&lt;=$L12,$J12,$I12)*
      IF($P12=1,
         $S12/12,
         IF(CR$4=1,
            $T12/12,
            IF(CR$4=$P12,
               $U12/12,
               1
      ))),0)
))))</f>
        <v>-</v>
      </c>
      <c r="CT12" s="56" t="str">
        <f ca="1">IF($H12=リスト!$AA$4,"-",
   IF($C12="-","-",
     IF(CT$4&gt;$P12,"-",
       IF(CT$4=1,$E12,OFFSET(CT12,0,-2)-OFFSET(CT12,0,-1)
))))</f>
        <v>-</v>
      </c>
      <c r="CU12" s="57" t="str">
        <f>IF($H12=リスト!$AA$4,"-",
 IF($C12="-","-",
  IF(CT$4&gt;$P12,"-",
   CHOOSE(MATCH($H$3,リスト!$AE$3:$AE$5,0),
    ROUNDUP(
      CT12*IF(CT12*$I12&lt;=$L12,$J12,$I12)*
      IF($P12=1,
         $S12/12,
         IF(CT$4=1,
            $T12/12,
            IF(CT$4=$P12,
               $U12/12,
               1
      ))),0),
    ROUNDDOWN(
      CT12*IF(CT12*$I12&lt;=$L12,$J12,$I12)*
      IF($P12=1,
         $S12/12,
         IF(CT$4=1,
            $T12/12,
            IF(CT$4=$P12,
               $U12/12,
               1
      ))),0),
    ROUND(
      CT12*IF(CT12*$I12&lt;=$L12,$J12,$I12)*
      IF($P12=1,
         $S12/12,
         IF(CT$4=1,
            $T12/12,
            IF(CT$4=$P12,
               $U12/12,
               1
      ))),0)
))))</f>
        <v>-</v>
      </c>
      <c r="CV12" s="56" t="str">
        <f ca="1">IF($H12=リスト!$AA$4,"-",
   IF($C12="-","-",
     IF(CV$4&gt;$P12,"-",
       IF(CV$4=1,$E12,OFFSET(CV12,0,-2)-OFFSET(CV12,0,-1)
))))</f>
        <v>-</v>
      </c>
      <c r="CW12" s="57" t="str">
        <f>IF($H12=リスト!$AA$4,"-",
 IF($C12="-","-",
  IF(CV$4&gt;$P12,"-",
   CHOOSE(MATCH($H$3,リスト!$AE$3:$AE$5,0),
    ROUNDUP(
      CV12*IF(CV12*$I12&lt;=$L12,$J12,$I12)*
      IF($P12=1,
         $S12/12,
         IF(CV$4=1,
            $T12/12,
            IF(CV$4=$P12,
               $U12/12,
               1
      ))),0),
    ROUNDDOWN(
      CV12*IF(CV12*$I12&lt;=$L12,$J12,$I12)*
      IF($P12=1,
         $S12/12,
         IF(CV$4=1,
            $T12/12,
            IF(CV$4=$P12,
               $U12/12,
               1
      ))),0),
    ROUND(
      CV12*IF(CV12*$I12&lt;=$L12,$J12,$I12)*
      IF($P12=1,
         $S12/12,
         IF(CV$4=1,
            $T12/12,
            IF(CV$4=$P12,
               $U12/12,
               1
      ))),0)
))))</f>
        <v>-</v>
      </c>
      <c r="CX12" s="56" t="str">
        <f ca="1">IF($H12=リスト!$AA$4,"-",
   IF($C12="-","-",
     IF(CX$4&gt;$P12,"-",
       IF(CX$4=1,$E12,OFFSET(CX12,0,-2)-OFFSET(CX12,0,-1)
))))</f>
        <v>-</v>
      </c>
      <c r="CY12" s="57" t="str">
        <f>IF($H12=リスト!$AA$4,"-",
 IF($C12="-","-",
  IF(CX$4&gt;$P12,"-",
   CHOOSE(MATCH($H$3,リスト!$AE$3:$AE$5,0),
    ROUNDUP(
      CX12*IF(CX12*$I12&lt;=$L12,$J12,$I12)*
      IF($P12=1,
         $S12/12,
         IF(CX$4=1,
            $T12/12,
            IF(CX$4=$P12,
               $U12/12,
               1
      ))),0),
    ROUNDDOWN(
      CX12*IF(CX12*$I12&lt;=$L12,$J12,$I12)*
      IF($P12=1,
         $S12/12,
         IF(CX$4=1,
            $T12/12,
            IF(CX$4=$P12,
               $U12/12,
               1
      ))),0),
    ROUND(
      CX12*IF(CX12*$I12&lt;=$L12,$J12,$I12)*
      IF($P12=1,
         $S12/12,
         IF(CX$4=1,
            $T12/12,
            IF(CX$4=$P12,
               $U12/12,
               1
      ))),0)
))))</f>
        <v>-</v>
      </c>
      <c r="CZ12" s="56" t="str">
        <f ca="1">IF($H12=リスト!$AA$4,"-",
   IF($C12="-","-",
     IF(CZ$4&gt;$P12,"-",
       IF(CZ$4=1,$E12,OFFSET(CZ12,0,-2)-OFFSET(CZ12,0,-1)
))))</f>
        <v>-</v>
      </c>
      <c r="DA12" s="57" t="str">
        <f>IF($H12=リスト!$AA$4,"-",
 IF($C12="-","-",
  IF(CZ$4&gt;$P12,"-",
   CHOOSE(MATCH($H$3,リスト!$AE$3:$AE$5,0),
    ROUNDUP(
      CZ12*IF(CZ12*$I12&lt;=$L12,$J12,$I12)*
      IF($P12=1,
         $S12/12,
         IF(CZ$4=1,
            $T12/12,
            IF(CZ$4=$P12,
               $U12/12,
               1
      ))),0),
    ROUNDDOWN(
      CZ12*IF(CZ12*$I12&lt;=$L12,$J12,$I12)*
      IF($P12=1,
         $S12/12,
         IF(CZ$4=1,
            $T12/12,
            IF(CZ$4=$P12,
               $U12/12,
               1
      ))),0),
    ROUND(
      CZ12*IF(CZ12*$I12&lt;=$L12,$J12,$I12)*
      IF($P12=1,
         $S12/12,
         IF(CZ$4=1,
            $T12/12,
            IF(CZ$4=$P12,
               $U12/12,
               1
      ))),0)
))))</f>
        <v>-</v>
      </c>
      <c r="DB12" s="56" t="str">
        <f ca="1">IF($H12=リスト!$AA$4,"-",
   IF($C12="-","-",
     IF(DB$4&gt;$P12,"-",
       IF(DB$4=1,$E12,OFFSET(DB12,0,-2)-OFFSET(DB12,0,-1)
))))</f>
        <v>-</v>
      </c>
      <c r="DC12" s="57" t="str">
        <f>IF($H12=リスト!$AA$4,"-",
 IF($C12="-","-",
  IF(DB$4&gt;$P12,"-",
   CHOOSE(MATCH($H$3,リスト!$AE$3:$AE$5,0),
    ROUNDUP(
      DB12*IF(DB12*$I12&lt;=$L12,$J12,$I12)*
      IF($P12=1,
         $S12/12,
         IF(DB$4=1,
            $T12/12,
            IF(DB$4=$P12,
               $U12/12,
               1
      ))),0),
    ROUNDDOWN(
      DB12*IF(DB12*$I12&lt;=$L12,$J12,$I12)*
      IF($P12=1,
         $S12/12,
         IF(DB$4=1,
            $T12/12,
            IF(DB$4=$P12,
               $U12/12,
               1
      ))),0),
    ROUND(
      DB12*IF(DB12*$I12&lt;=$L12,$J12,$I12)*
      IF($P12=1,
         $S12/12,
         IF(DB$4=1,
            $T12/12,
            IF(DB$4=$P12,
               $U12/12,
               1
      ))),0)
))))</f>
        <v>-</v>
      </c>
      <c r="DD12" s="56" t="str">
        <f ca="1">IF($H12=リスト!$AA$4,"-",
   IF($C12="-","-",
     IF(DD$4&gt;$P12,"-",
       IF(DD$4=1,$E12,OFFSET(DD12,0,-2)-OFFSET(DD12,0,-1)
))))</f>
        <v>-</v>
      </c>
      <c r="DE12" s="57" t="str">
        <f>IF($H12=リスト!$AA$4,"-",
 IF($C12="-","-",
  IF(DD$4&gt;$P12,"-",
   CHOOSE(MATCH($H$3,リスト!$AE$3:$AE$5,0),
    ROUNDUP(
      DD12*IF(DD12*$I12&lt;=$L12,$J12,$I12)*
      IF($P12=1,
         $S12/12,
         IF(DD$4=1,
            $T12/12,
            IF(DD$4=$P12,
               $U12/12,
               1
      ))),0),
    ROUNDDOWN(
      DD12*IF(DD12*$I12&lt;=$L12,$J12,$I12)*
      IF($P12=1,
         $S12/12,
         IF(DD$4=1,
            $T12/12,
            IF(DD$4=$P12,
               $U12/12,
               1
      ))),0),
    ROUND(
      DD12*IF(DD12*$I12&lt;=$L12,$J12,$I12)*
      IF($P12=1,
         $S12/12,
         IF(DD$4=1,
            $T12/12,
            IF(DD$4=$P12,
               $U12/12,
               1
      ))),0)
))))</f>
        <v>-</v>
      </c>
      <c r="DF12" s="56" t="str">
        <f ca="1">IF($H12=リスト!$AA$4,"-",
   IF($C12="-","-",
     IF(DF$4&gt;$P12,"-",
       IF(DF$4=1,$E12,OFFSET(DF12,0,-2)-OFFSET(DF12,0,-1)
))))</f>
        <v>-</v>
      </c>
      <c r="DG12" s="57" t="str">
        <f>IF($H12=リスト!$AA$4,"-",
 IF($C12="-","-",
  IF(DF$4&gt;$P12,"-",
   CHOOSE(MATCH($H$3,リスト!$AE$3:$AE$5,0),
    ROUNDUP(
      DF12*IF(DF12*$I12&lt;=$L12,$J12,$I12)*
      IF($P12=1,
         $S12/12,
         IF(DF$4=1,
            $T12/12,
            IF(DF$4=$P12,
               $U12/12,
               1
      ))),0),
    ROUNDDOWN(
      DF12*IF(DF12*$I12&lt;=$L12,$J12,$I12)*
      IF($P12=1,
         $S12/12,
         IF(DF$4=1,
            $T12/12,
            IF(DF$4=$P12,
               $U12/12,
               1
      ))),0),
    ROUND(
      DF12*IF(DF12*$I12&lt;=$L12,$J12,$I12)*
      IF($P12=1,
         $S12/12,
         IF(DF$4=1,
            $T12/12,
            IF(DF$4=$P12,
               $U12/12,
               1
      ))),0)
))))</f>
        <v>-</v>
      </c>
      <c r="DH12" s="56" t="str">
        <f ca="1">IF($H12=リスト!$AA$4,"-",
   IF($C12="-","-",
     IF(DH$4&gt;$P12,"-",
       IF(DH$4=1,$E12,OFFSET(DH12,0,-2)-OFFSET(DH12,0,-1)
))))</f>
        <v>-</v>
      </c>
      <c r="DI12" s="57" t="str">
        <f>IF($H12=リスト!$AA$4,"-",
 IF($C12="-","-",
  IF(DH$4&gt;$P12,"-",
   CHOOSE(MATCH($H$3,リスト!$AE$3:$AE$5,0),
    ROUNDUP(
      DH12*IF(DH12*$I12&lt;=$L12,$J12,$I12)*
      IF($P12=1,
         $S12/12,
         IF(DH$4=1,
            $T12/12,
            IF(DH$4=$P12,
               $U12/12,
               1
      ))),0),
    ROUNDDOWN(
      DH12*IF(DH12*$I12&lt;=$L12,$J12,$I12)*
      IF($P12=1,
         $S12/12,
         IF(DH$4=1,
            $T12/12,
            IF(DH$4=$P12,
               $U12/12,
               1
      ))),0),
    ROUND(
      DH12*IF(DH12*$I12&lt;=$L12,$J12,$I12)*
      IF($P12=1,
         $S12/12,
         IF(DH$4=1,
            $T12/12,
            IF(DH$4=$P12,
               $U12/12,
               1
      ))),0)
))))</f>
        <v>-</v>
      </c>
      <c r="DJ12" s="56" t="str">
        <f ca="1">IF($H12=リスト!$AA$4,"-",
   IF($C12="-","-",
     IF(DJ$4&gt;$P12,"-",
       IF(DJ$4=1,$E12,OFFSET(DJ12,0,-2)-OFFSET(DJ12,0,-1)
))))</f>
        <v>-</v>
      </c>
      <c r="DK12" s="57" t="str">
        <f>IF($H12=リスト!$AA$4,"-",
 IF($C12="-","-",
  IF(DJ$4&gt;$P12,"-",
   CHOOSE(MATCH($H$3,リスト!$AE$3:$AE$5,0),
    ROUNDUP(
      DJ12*IF(DJ12*$I12&lt;=$L12,$J12,$I12)*
      IF($P12=1,
         $S12/12,
         IF(DJ$4=1,
            $T12/12,
            IF(DJ$4=$P12,
               $U12/12,
               1
      ))),0),
    ROUNDDOWN(
      DJ12*IF(DJ12*$I12&lt;=$L12,$J12,$I12)*
      IF($P12=1,
         $S12/12,
         IF(DJ$4=1,
            $T12/12,
            IF(DJ$4=$P12,
               $U12/12,
               1
      ))),0),
    ROUND(
      DJ12*IF(DJ12*$I12&lt;=$L12,$J12,$I12)*
      IF($P12=1,
         $S12/12,
         IF(DJ$4=1,
            $T12/12,
            IF(DJ$4=$P12,
               $U12/12,
               1
      ))),0)
))))</f>
        <v>-</v>
      </c>
      <c r="DL12" s="56" t="str">
        <f ca="1">IF($H12=リスト!$AA$4,"-",
   IF($C12="-","-",
     IF(DL$4&gt;$P12,"-",
       IF(DL$4=1,$E12,OFFSET(DL12,0,-2)-OFFSET(DL12,0,-1)
))))</f>
        <v>-</v>
      </c>
      <c r="DM12" s="57" t="str">
        <f>IF($H12=リスト!$AA$4,"-",
 IF($C12="-","-",
  IF(DL$4&gt;$P12,"-",
   CHOOSE(MATCH($H$3,リスト!$AE$3:$AE$5,0),
    ROUNDUP(
      DL12*IF(DL12*$I12&lt;=$L12,$J12,$I12)*
      IF($P12=1,
         $S12/12,
         IF(DL$4=1,
            $T12/12,
            IF(DL$4=$P12,
               $U12/12,
               1
      ))),0),
    ROUNDDOWN(
      DL12*IF(DL12*$I12&lt;=$L12,$J12,$I12)*
      IF($P12=1,
         $S12/12,
         IF(DL$4=1,
            $T12/12,
            IF(DL$4=$P12,
               $U12/12,
               1
      ))),0),
    ROUND(
      DL12*IF(DL12*$I12&lt;=$L12,$J12,$I12)*
      IF($P12=1,
         $S12/12,
         IF(DL$4=1,
            $T12/12,
            IF(DL$4=$P12,
               $U12/12,
               1
      ))),0)
))))</f>
        <v>-</v>
      </c>
      <c r="DN12" s="56" t="str">
        <f ca="1">IF($H12=リスト!$AA$4,"-",
   IF($C12="-","-",
     IF(DN$4&gt;$P12,"-",
       IF(DN$4=1,$E12,OFFSET(DN12,0,-2)-OFFSET(DN12,0,-1)
))))</f>
        <v>-</v>
      </c>
      <c r="DO12" s="57" t="str">
        <f>IF($H12=リスト!$AA$4,"-",
 IF($C12="-","-",
  IF(DN$4&gt;$P12,"-",
   CHOOSE(MATCH($H$3,リスト!$AE$3:$AE$5,0),
    ROUNDUP(
      DN12*IF(DN12*$I12&lt;=$L12,$J12,$I12)*
      IF($P12=1,
         $S12/12,
         IF(DN$4=1,
            $T12/12,
            IF(DN$4=$P12,
               $U12/12,
               1
      ))),0),
    ROUNDDOWN(
      DN12*IF(DN12*$I12&lt;=$L12,$J12,$I12)*
      IF($P12=1,
         $S12/12,
         IF(DN$4=1,
            $T12/12,
            IF(DN$4=$P12,
               $U12/12,
               1
      ))),0),
    ROUND(
      DN12*IF(DN12*$I12&lt;=$L12,$J12,$I12)*
      IF($P12=1,
         $S12/12,
         IF(DN$4=1,
            $T12/12,
            IF(DN$4=$P12,
               $U12/12,
               1
      ))),0)
))))</f>
        <v>-</v>
      </c>
      <c r="DP12" s="56" t="str">
        <f ca="1">IF($H12=リスト!$AA$4,"-",
   IF($C12="-","-",
     IF(DP$4&gt;$P12,"-",
       IF(DP$4=1,$E12,OFFSET(DP12,0,-2)-OFFSET(DP12,0,-1)
))))</f>
        <v>-</v>
      </c>
      <c r="DQ12" s="57" t="str">
        <f>IF($H12=リスト!$AA$4,"-",
 IF($C12="-","-",
  IF(DP$4&gt;$P12,"-",
   CHOOSE(MATCH($H$3,リスト!$AE$3:$AE$5,0),
    ROUNDUP(
      DP12*IF(DP12*$I12&lt;=$L12,$J12,$I12)*
      IF($P12=1,
         $S12/12,
         IF(DP$4=1,
            $T12/12,
            IF(DP$4=$P12,
               $U12/12,
               1
      ))),0),
    ROUNDDOWN(
      DP12*IF(DP12*$I12&lt;=$L12,$J12,$I12)*
      IF($P12=1,
         $S12/12,
         IF(DP$4=1,
            $T12/12,
            IF(DP$4=$P12,
               $U12/12,
               1
      ))),0),
    ROUND(
      DP12*IF(DP12*$I12&lt;=$L12,$J12,$I12)*
      IF($P12=1,
         $S12/12,
         IF(DP$4=1,
            $T12/12,
            IF(DP$4=$P12,
               $U12/12,
               1
      ))),0)
))))</f>
        <v>-</v>
      </c>
      <c r="DR12" s="56" t="str">
        <f ca="1">IF($H12=リスト!$AA$4,"-",
   IF($C12="-","-",
     IF(DR$4&gt;$P12,"-",
       IF(DR$4=1,$E12,OFFSET(DR12,0,-2)-OFFSET(DR12,0,-1)
))))</f>
        <v>-</v>
      </c>
      <c r="DS12" s="57" t="str">
        <f>IF($H12=リスト!$AA$4,"-",
 IF($C12="-","-",
  IF(DR$4&gt;$P12,"-",
   CHOOSE(MATCH($H$3,リスト!$AE$3:$AE$5,0),
    ROUNDUP(
      DR12*IF(DR12*$I12&lt;=$L12,$J12,$I12)*
      IF($P12=1,
         ($G12-$F12+1)/$Q12,
         IF(DR$4=1,
            ($M12-$F12+1)/$Q12,
            IF(DR$4=$P12,
               ($G12-$O12+1)/$R12,
               1
      ))),0),
    ROUNDDOWN(
      DR12*IF(DR12*$I12&lt;=$L12,$J12,$I12)*
      IF($P12=1,
         ($G12-$F12+1)/$Q12,
         IF(DR$4=1,
            ($M12-$F12+1)/$Q12,
            IF(DR$4=$P12,
               ($G12-$O12+1)/$R12,
               1
      ))),0),
    ROUND(
      DR12*IF(DR12*$I12&lt;=$L12,$J12,$I12)*
      IF($P12=1,
         ($G12-$F12+1)/$Q12,
         IF(DR$4=1,
            ($M12-$F12+1)/$Q12,
            IF(DR$4=$P12,
               ($G12-$O12+1)/$R12,
               1
      ))),0)
))))</f>
        <v>-</v>
      </c>
      <c r="DT12" s="56" t="str" cm="1">
        <f t="array" ref="DT12">IF($H12&lt;&gt;リスト!$AA$3,"-",$E12-SUMPRODUCT(IFERROR($Y12:$DS12*1,0), --(MOD(COLUMN($Y12:$DS12)-COLUMN($Y12),2)=0)))</f>
        <v>-</v>
      </c>
      <c r="DU12" s="56" t="str">
        <f>IF($H12&lt;&gt;リスト!$AA$4,"-",
    IF($H$3=リスト!$AE$3,$E12-ROUNDUP($E12*I12*$W12/12,0),
    IF($H$3=リスト!$AE$4,$E12-ROUNDDOWN($E12*I12*$W12/12,0),
    IF($H$3=リスト!$AE$5,$E12-ROUND($E12*I12*$W12/12,0),
    "-"))))</f>
        <v>-</v>
      </c>
    </row>
    <row r="13" spans="2:125">
      <c r="B13" s="54">
        <v>8</v>
      </c>
      <c r="C13" s="55" t="str">
        <f>IF('財産処分報告(災害)用'!$C13="","-",'財産処分報告(災害)用'!$C13)</f>
        <v>-</v>
      </c>
      <c r="D13" s="55" t="str">
        <f>'財産処分報告(災害)用'!$E13</f>
        <v>-</v>
      </c>
      <c r="E13" s="56" t="str">
        <f>IF('財産処分報告(災害)用'!$J13="","-",'財産処分報告(災害)用'!$J13)</f>
        <v>-</v>
      </c>
      <c r="F13" s="101" t="str">
        <f>IF('財産処分報告(災害)用'!$K13="","-",'財産処分報告(災害)用'!$K13)</f>
        <v>-</v>
      </c>
      <c r="G13" s="101" t="str">
        <f>IF('財産処分報告(災害)用'!$L13="","-",'財産処分報告(災害)用'!$L13)</f>
        <v>-</v>
      </c>
      <c r="H13" s="55" t="str">
        <f>IF('財産処分報告(災害)用'!$M13="","-",'財産処分報告(災害)用'!$M13)</f>
        <v>-</v>
      </c>
      <c r="I13" s="55" t="str">
        <f>IF(OR($D13="-",$H13="-"),"-",INDEX(リスト!$AG$2:$AI$101,MATCH($D13,リスト!$AG$2:$AG$101,0),MATCH($H13,リスト!$AG$2:$AI$2,0)))</f>
        <v>-</v>
      </c>
      <c r="J13" s="55" t="str">
        <f>IF(OR($D13="-",$H13="-"),"-",IF($H13=リスト!$AA$4,"-",INDEX(リスト!$AG$2:$AK$101,MATCH($D13,リスト!$AG$2:$AG$101,0),4)))</f>
        <v>-</v>
      </c>
      <c r="K13" s="55" t="str">
        <f>IF(OR($D13="-",$H13="-"),"-",IF($H13=リスト!$AA$4,"-",INDEX(リスト!$AG$2:$AK$101,MATCH($D13,リスト!$AG$2:$AG$101,0),5)))</f>
        <v>-</v>
      </c>
      <c r="L13" s="55" t="str">
        <f t="shared" si="0"/>
        <v>-</v>
      </c>
      <c r="M13" s="101" t="str">
        <f t="shared" si="1"/>
        <v>-</v>
      </c>
      <c r="N13" s="101" t="str">
        <f t="shared" si="2"/>
        <v>-</v>
      </c>
      <c r="O13" s="101" t="str">
        <f t="shared" si="3"/>
        <v>-</v>
      </c>
      <c r="P13" s="102" t="str">
        <f t="shared" si="4"/>
        <v>-</v>
      </c>
      <c r="Q13" s="115" t="str">
        <f t="shared" si="5"/>
        <v>-</v>
      </c>
      <c r="R13" s="116" t="str">
        <f t="shared" si="6"/>
        <v>-</v>
      </c>
      <c r="S13" s="102" t="str">
        <f t="shared" si="7"/>
        <v>-</v>
      </c>
      <c r="T13" s="102" t="str">
        <f t="shared" si="8"/>
        <v>-</v>
      </c>
      <c r="U13" s="102" t="str">
        <f t="shared" si="9"/>
        <v>-</v>
      </c>
      <c r="V13" s="102" t="str">
        <f t="shared" si="10"/>
        <v>-</v>
      </c>
      <c r="W13" s="55" t="str">
        <f t="shared" si="11"/>
        <v>-</v>
      </c>
      <c r="X13" s="56" t="str">
        <f ca="1">IF($H13=リスト!$AA$4,"-",
   IF($C13="-","-",
     IF(X$4&gt;$P13,"-",
       IF(X$4=1,$E13,OFFSET(X13,0,-2)-OFFSET(X13,0,-1)
))))</f>
        <v>-</v>
      </c>
      <c r="Y13" s="57" t="str">
        <f>IF($H13=リスト!$AA$4,"-",
 IF($C13="-","-",
  IF(X$4&gt;$P13,"-",
   CHOOSE(MATCH($H$3,リスト!$AE$3:$AE$5,0),
    ROUNDUP(
      X13*IF(X13*$I13&lt;=$L13,$J13,$I13)*
      IF($P13=1,
         $S13/12,
         IF(X$4=1,
            $T13/12,
            IF(X$4=$P13,
               $U13/12,
               1
      ))),0),
    ROUNDDOWN(
      X13*IF(X13*$I13&lt;=$L13,$J13,$I13)*
      IF($P13=1,
         $S13/12,
         IF(X$4=1,
            $T13/12,
            IF(X$4=$P13,
               $U13/12,
               1
      ))),0),
    ROUND(
      X13*IF(X13*$I13&lt;=$L13,$J13,$I13)*
      IF($P13=1,
         $S13/12,
         IF(X$4=1,
            $T13/12,
            IF(X$4=$P13,
               $U13/12,
               1
      ))),0)
))))</f>
        <v>-</v>
      </c>
      <c r="Z13" s="56" t="str">
        <f ca="1">IF($H13=リスト!$AA$4,"-",
   IF($C13="-","-",
     IF(Z$4&gt;$P13,"-",
       IF(Z$4=1,$E13,OFFSET(Z13,0,-2)-OFFSET(Z13,0,-1)
))))</f>
        <v>-</v>
      </c>
      <c r="AA13" s="57" t="str">
        <f>IF($H13=リスト!$AA$4,"-",
 IF($C13="-","-",
  IF(Z$4&gt;$P13,"-",
   CHOOSE(MATCH($H$3,リスト!$AE$3:$AE$5,0),
    ROUNDUP(
      Z13*IF(Z13*$I13&lt;=$L13,$J13,$I13)*
      IF($P13=1,
         $S13/12,
         IF(Z$4=1,
            $T13/12,
            IF(Z$4=$P13,
               $U13/12,
               1
      ))),0),
    ROUNDDOWN(
      Z13*IF(Z13*$I13&lt;=$L13,$J13,$I13)*
      IF($P13=1,
         $S13/12,
         IF(Z$4=1,
            $T13/12,
            IF(Z$4=$P13,
               $U13/12,
               1
      ))),0),
    ROUND(
      Z13*IF(Z13*$I13&lt;=$L13,$J13,$I13)*
      IF($P13=1,
         $S13/12,
         IF(Z$4=1,
            $T13/12,
            IF(Z$4=$P13,
               $U13/12,
               1
      ))),0)
))))</f>
        <v>-</v>
      </c>
      <c r="AB13" s="56" t="str">
        <f ca="1">IF($H13=リスト!$AA$4,"-",
   IF($C13="-","-",
     IF(AB$4&gt;$P13,"-",
       IF(AB$4=1,$E13,OFFSET(AB13,0,-2)-OFFSET(AB13,0,-1)
))))</f>
        <v>-</v>
      </c>
      <c r="AC13" s="57" t="str">
        <f>IF($H13=リスト!$AA$4,"-",
 IF($C13="-","-",
  IF(AB$4&gt;$P13,"-",
   CHOOSE(MATCH($H$3,リスト!$AE$3:$AE$5,0),
    ROUNDUP(
      AB13*IF(AB13*$I13&lt;=$L13,$J13,$I13)*
      IF($P13=1,
         $S13/12,
         IF(AB$4=1,
            $T13/12,
            IF(AB$4=$P13,
               $U13/12,
               1
      ))),0),
    ROUNDDOWN(
      AB13*IF(AB13*$I13&lt;=$L13,$J13,$I13)*
      IF($P13=1,
         $S13/12,
         IF(AB$4=1,
            $T13/12,
            IF(AB$4=$P13,
               $U13/12,
               1
      ))),0),
    ROUND(
      AB13*IF(AB13*$I13&lt;=$L13,$J13,$I13)*
      IF($P13=1,
         $S13/12,
         IF(AB$4=1,
            $T13/12,
            IF(AB$4=$P13,
               $U13/12,
               1
      ))),0)
))))</f>
        <v>-</v>
      </c>
      <c r="AD13" s="56" t="str">
        <f ca="1">IF($H13=リスト!$AA$4,"-",
   IF($C13="-","-",
     IF(AD$4&gt;$P13,"-",
       IF(AD$4=1,$E13,OFFSET(AD13,0,-2)-OFFSET(AD13,0,-1)
))))</f>
        <v>-</v>
      </c>
      <c r="AE13" s="57" t="str">
        <f>IF($H13=リスト!$AA$4,"-",
 IF($C13="-","-",
  IF(AD$4&gt;$P13,"-",
   CHOOSE(MATCH($H$3,リスト!$AE$3:$AE$5,0),
    ROUNDUP(
      AD13*IF(AD13*$I13&lt;=$L13,$J13,$I13)*
      IF($P13=1,
         $S13/12,
         IF(AD$4=1,
            $T13/12,
            IF(AD$4=$P13,
               $U13/12,
               1
      ))),0),
    ROUNDDOWN(
      AD13*IF(AD13*$I13&lt;=$L13,$J13,$I13)*
      IF($P13=1,
         $S13/12,
         IF(AD$4=1,
            $T13/12,
            IF(AD$4=$P13,
               $U13/12,
               1
      ))),0),
    ROUND(
      AD13*IF(AD13*$I13&lt;=$L13,$J13,$I13)*
      IF($P13=1,
         $S13/12,
         IF(AD$4=1,
            $T13/12,
            IF(AD$4=$P13,
               $U13/12,
               1
      ))),0)
))))</f>
        <v>-</v>
      </c>
      <c r="AF13" s="56" t="str">
        <f ca="1">IF($H13=リスト!$AA$4,"-",
   IF($C13="-","-",
     IF(AF$4&gt;$P13,"-",
       IF(AF$4=1,$E13,OFFSET(AF13,0,-2)-OFFSET(AF13,0,-1)
))))</f>
        <v>-</v>
      </c>
      <c r="AG13" s="57" t="str">
        <f>IF($H13=リスト!$AA$4,"-",
 IF($C13="-","-",
  IF(AF$4&gt;$P13,"-",
   CHOOSE(MATCH($H$3,リスト!$AE$3:$AE$5,0),
    ROUNDUP(
      AF13*IF(AF13*$I13&lt;=$L13,$J13,$I13)*
      IF($P13=1,
         $S13/12,
         IF(AF$4=1,
            $T13/12,
            IF(AF$4=$P13,
               $U13/12,
               1
      ))),0),
    ROUNDDOWN(
      AF13*IF(AF13*$I13&lt;=$L13,$J13,$I13)*
      IF($P13=1,
         $S13/12,
         IF(AF$4=1,
            $T13/12,
            IF(AF$4=$P13,
               $U13/12,
               1
      ))),0),
    ROUND(
      AF13*IF(AF13*$I13&lt;=$L13,$J13,$I13)*
      IF($P13=1,
         $S13/12,
         IF(AF$4=1,
            $T13/12,
            IF(AF$4=$P13,
               $U13/12,
               1
      ))),0)
))))</f>
        <v>-</v>
      </c>
      <c r="AH13" s="56" t="str">
        <f ca="1">IF($H13=リスト!$AA$4,"-",
   IF($C13="-","-",
     IF(AH$4&gt;$P13,"-",
       IF(AH$4=1,$E13,OFFSET(AH13,0,-2)-OFFSET(AH13,0,-1)
))))</f>
        <v>-</v>
      </c>
      <c r="AI13" s="57" t="str">
        <f>IF($H13=リスト!$AA$4,"-",
 IF($C13="-","-",
  IF(AH$4&gt;$P13,"-",
   CHOOSE(MATCH($H$3,リスト!$AE$3:$AE$5,0),
    ROUNDUP(
      AH13*IF(AH13*$I13&lt;=$L13,$J13,$I13)*
      IF($P13=1,
         $S13/12,
         IF(AH$4=1,
            $T13/12,
            IF(AH$4=$P13,
               $U13/12,
               1
      ))),0),
    ROUNDDOWN(
      AH13*IF(AH13*$I13&lt;=$L13,$J13,$I13)*
      IF($P13=1,
         $S13/12,
         IF(AH$4=1,
            $T13/12,
            IF(AH$4=$P13,
               $U13/12,
               1
      ))),0),
    ROUND(
      AH13*IF(AH13*$I13&lt;=$L13,$J13,$I13)*
      IF($P13=1,
         $S13/12,
         IF(AH$4=1,
            $T13/12,
            IF(AH$4=$P13,
               $U13/12,
               1
      ))),0)
))))</f>
        <v>-</v>
      </c>
      <c r="AJ13" s="56" t="str">
        <f ca="1">IF($H13=リスト!$AA$4,"-",
   IF($C13="-","-",
     IF(AJ$4&gt;$P13,"-",
       IF(AJ$4=1,$E13,OFFSET(AJ13,0,-2)-OFFSET(AJ13,0,-1)
))))</f>
        <v>-</v>
      </c>
      <c r="AK13" s="57" t="str">
        <f>IF($H13=リスト!$AA$4,"-",
 IF($C13="-","-",
  IF(AJ$4&gt;$P13,"-",
   CHOOSE(MATCH($H$3,リスト!$AE$3:$AE$5,0),
    ROUNDUP(
      AJ13*IF(AJ13*$I13&lt;=$L13,$J13,$I13)*
      IF($P13=1,
         $S13/12,
         IF(AJ$4=1,
            $T13/12,
            IF(AJ$4=$P13,
               $U13/12,
               1
      ))),0),
    ROUNDDOWN(
      AJ13*IF(AJ13*$I13&lt;=$L13,$J13,$I13)*
      IF($P13=1,
         $S13/12,
         IF(AJ$4=1,
            $T13/12,
            IF(AJ$4=$P13,
               $U13/12,
               1
      ))),0),
    ROUND(
      AJ13*IF(AJ13*$I13&lt;=$L13,$J13,$I13)*
      IF($P13=1,
         $S13/12,
         IF(AJ$4=1,
            $T13/12,
            IF(AJ$4=$P13,
               $U13/12,
               1
      ))),0)
))))</f>
        <v>-</v>
      </c>
      <c r="AL13" s="56" t="str">
        <f ca="1">IF($H13=リスト!$AA$4,"-",
   IF($C13="-","-",
     IF(AL$4&gt;$P13,"-",
       IF(AL$4=1,$E13,OFFSET(AL13,0,-2)-OFFSET(AL13,0,-1)
))))</f>
        <v>-</v>
      </c>
      <c r="AM13" s="57" t="str">
        <f>IF($H13=リスト!$AA$4,"-",
 IF($C13="-","-",
  IF(AL$4&gt;$P13,"-",
   CHOOSE(MATCH($H$3,リスト!$AE$3:$AE$5,0),
    ROUNDUP(
      AL13*IF(AL13*$I13&lt;=$L13,$J13,$I13)*
      IF($P13=1,
         $S13/12,
         IF(AL$4=1,
            $T13/12,
            IF(AL$4=$P13,
               $U13/12,
               1
      ))),0),
    ROUNDDOWN(
      AL13*IF(AL13*$I13&lt;=$L13,$J13,$I13)*
      IF($P13=1,
         $S13/12,
         IF(AL$4=1,
            $T13/12,
            IF(AL$4=$P13,
               $U13/12,
               1
      ))),0),
    ROUND(
      AL13*IF(AL13*$I13&lt;=$L13,$J13,$I13)*
      IF($P13=1,
         $S13/12,
         IF(AL$4=1,
            $T13/12,
            IF(AL$4=$P13,
               $U13/12,
               1
      ))),0)
))))</f>
        <v>-</v>
      </c>
      <c r="AN13" s="56" t="str">
        <f ca="1">IF($H13=リスト!$AA$4,"-",
   IF($C13="-","-",
     IF(AN$4&gt;$P13,"-",
       IF(AN$4=1,$E13,OFFSET(AN13,0,-2)-OFFSET(AN13,0,-1)
))))</f>
        <v>-</v>
      </c>
      <c r="AO13" s="57" t="str">
        <f>IF($H13=リスト!$AA$4,"-",
 IF($C13="-","-",
  IF(AN$4&gt;$P13,"-",
   CHOOSE(MATCH($H$3,リスト!$AE$3:$AE$5,0),
    ROUNDUP(
      AN13*IF(AN13*$I13&lt;=$L13,$J13,$I13)*
      IF($P13=1,
         $S13/12,
         IF(AN$4=1,
            $T13/12,
            IF(AN$4=$P13,
               $U13/12,
               1
      ))),0),
    ROUNDDOWN(
      AN13*IF(AN13*$I13&lt;=$L13,$J13,$I13)*
      IF($P13=1,
         $S13/12,
         IF(AN$4=1,
            $T13/12,
            IF(AN$4=$P13,
               $U13/12,
               1
      ))),0),
    ROUND(
      AN13*IF(AN13*$I13&lt;=$L13,$J13,$I13)*
      IF($P13=1,
         $S13/12,
         IF(AN$4=1,
            $T13/12,
            IF(AN$4=$P13,
               $U13/12,
               1
      ))),0)
))))</f>
        <v>-</v>
      </c>
      <c r="AP13" s="56" t="str">
        <f ca="1">IF($H13=リスト!$AA$4,"-",
   IF($C13="-","-",
     IF(AP$4&gt;$P13,"-",
       IF(AP$4=1,$E13,OFFSET(AP13,0,-2)-OFFSET(AP13,0,-1)
))))</f>
        <v>-</v>
      </c>
      <c r="AQ13" s="57" t="str">
        <f>IF($H13=リスト!$AA$4,"-",
 IF($C13="-","-",
  IF(AP$4&gt;$P13,"-",
   CHOOSE(MATCH($H$3,リスト!$AE$3:$AE$5,0),
    ROUNDUP(
      AP13*IF(AP13*$I13&lt;=$L13,$J13,$I13)*
      IF($P13=1,
         $S13/12,
         IF(AP$4=1,
            $T13/12,
            IF(AP$4=$P13,
               $U13/12,
               1
      ))),0),
    ROUNDDOWN(
      AP13*IF(AP13*$I13&lt;=$L13,$J13,$I13)*
      IF($P13=1,
         $S13/12,
         IF(AP$4=1,
            $T13/12,
            IF(AP$4=$P13,
               $U13/12,
               1
      ))),0),
    ROUND(
      AP13*IF(AP13*$I13&lt;=$L13,$J13,$I13)*
      IF($P13=1,
         $S13/12,
         IF(AP$4=1,
            $T13/12,
            IF(AP$4=$P13,
               $U13/12,
               1
      ))),0)
))))</f>
        <v>-</v>
      </c>
      <c r="AR13" s="56" t="str">
        <f ca="1">IF($H13=リスト!$AA$4,"-",
   IF($C13="-","-",
     IF(AR$4&gt;$P13,"-",
       IF(AR$4=1,$E13,OFFSET(AR13,0,-2)-OFFSET(AR13,0,-1)
))))</f>
        <v>-</v>
      </c>
      <c r="AS13" s="57" t="str">
        <f>IF($H13=リスト!$AA$4,"-",
 IF($C13="-","-",
  IF(AR$4&gt;$P13,"-",
   CHOOSE(MATCH($H$3,リスト!$AE$3:$AE$5,0),
    ROUNDUP(
      AR13*IF(AR13*$I13&lt;=$L13,$J13,$I13)*
      IF($P13=1,
         $S13/12,
         IF(AR$4=1,
            $T13/12,
            IF(AR$4=$P13,
               $U13/12,
               1
      ))),0),
    ROUNDDOWN(
      AR13*IF(AR13*$I13&lt;=$L13,$J13,$I13)*
      IF($P13=1,
         $S13/12,
         IF(AR$4=1,
            $T13/12,
            IF(AR$4=$P13,
               $U13/12,
               1
      ))),0),
    ROUND(
      AR13*IF(AR13*$I13&lt;=$L13,$J13,$I13)*
      IF($P13=1,
         $S13/12,
         IF(AR$4=1,
            $T13/12,
            IF(AR$4=$P13,
               $U13/12,
               1
      ))),0)
))))</f>
        <v>-</v>
      </c>
      <c r="AT13" s="56" t="str">
        <f ca="1">IF($H13=リスト!$AA$4,"-",
   IF($C13="-","-",
     IF(AT$4&gt;$P13,"-",
       IF(AT$4=1,$E13,OFFSET(AT13,0,-2)-OFFSET(AT13,0,-1)
))))</f>
        <v>-</v>
      </c>
      <c r="AU13" s="57" t="str">
        <f>IF($H13=リスト!$AA$4,"-",
 IF($C13="-","-",
  IF(AT$4&gt;$P13,"-",
   CHOOSE(MATCH($H$3,リスト!$AE$3:$AE$5,0),
    ROUNDUP(
      AT13*IF(AT13*$I13&lt;=$L13,$J13,$I13)*
      IF($P13=1,
         $S13/12,
         IF(AT$4=1,
            $T13/12,
            IF(AT$4=$P13,
               $U13/12,
               1
      ))),0),
    ROUNDDOWN(
      AT13*IF(AT13*$I13&lt;=$L13,$J13,$I13)*
      IF($P13=1,
         $S13/12,
         IF(AT$4=1,
            $T13/12,
            IF(AT$4=$P13,
               $U13/12,
               1
      ))),0),
    ROUND(
      AT13*IF(AT13*$I13&lt;=$L13,$J13,$I13)*
      IF($P13=1,
         $S13/12,
         IF(AT$4=1,
            $T13/12,
            IF(AT$4=$P13,
               $U13/12,
               1
      ))),0)
))))</f>
        <v>-</v>
      </c>
      <c r="AV13" s="56" t="str">
        <f ca="1">IF($H13=リスト!$AA$4,"-",
   IF($C13="-","-",
     IF(AV$4&gt;$P13,"-",
       IF(AV$4=1,$E13,OFFSET(AV13,0,-2)-OFFSET(AV13,0,-1)
))))</f>
        <v>-</v>
      </c>
      <c r="AW13" s="57" t="str">
        <f>IF($H13=リスト!$AA$4,"-",
 IF($C13="-","-",
  IF(AV$4&gt;$P13,"-",
   CHOOSE(MATCH($H$3,リスト!$AE$3:$AE$5,0),
    ROUNDUP(
      AV13*IF(AV13*$I13&lt;=$L13,$J13,$I13)*
      IF($P13=1,
         $S13/12,
         IF(AV$4=1,
            $T13/12,
            IF(AV$4=$P13,
               $U13/12,
               1
      ))),0),
    ROUNDDOWN(
      AV13*IF(AV13*$I13&lt;=$L13,$J13,$I13)*
      IF($P13=1,
         $S13/12,
         IF(AV$4=1,
            $T13/12,
            IF(AV$4=$P13,
               $U13/12,
               1
      ))),0),
    ROUND(
      AV13*IF(AV13*$I13&lt;=$L13,$J13,$I13)*
      IF($P13=1,
         $S13/12,
         IF(AV$4=1,
            $T13/12,
            IF(AV$4=$P13,
               $U13/12,
               1
      ))),0)
))))</f>
        <v>-</v>
      </c>
      <c r="AX13" s="56" t="str">
        <f ca="1">IF($H13=リスト!$AA$4,"-",
   IF($C13="-","-",
     IF(AX$4&gt;$P13,"-",
       IF(AX$4=1,$E13,OFFSET(AX13,0,-2)-OFFSET(AX13,0,-1)
))))</f>
        <v>-</v>
      </c>
      <c r="AY13" s="57" t="str">
        <f>IF($H13=リスト!$AA$4,"-",
 IF($C13="-","-",
  IF(AX$4&gt;$P13,"-",
   CHOOSE(MATCH($H$3,リスト!$AE$3:$AE$5,0),
    ROUNDUP(
      AX13*IF(AX13*$I13&lt;=$L13,$J13,$I13)*
      IF($P13=1,
         $S13/12,
         IF(AX$4=1,
            $T13/12,
            IF(AX$4=$P13,
               $U13/12,
               1
      ))),0),
    ROUNDDOWN(
      AX13*IF(AX13*$I13&lt;=$L13,$J13,$I13)*
      IF($P13=1,
         $S13/12,
         IF(AX$4=1,
            $T13/12,
            IF(AX$4=$P13,
               $U13/12,
               1
      ))),0),
    ROUND(
      AX13*IF(AX13*$I13&lt;=$L13,$J13,$I13)*
      IF($P13=1,
         $S13/12,
         IF(AX$4=1,
            $T13/12,
            IF(AX$4=$P13,
               $U13/12,
               1
      ))),0)
))))</f>
        <v>-</v>
      </c>
      <c r="AZ13" s="56" t="str">
        <f ca="1">IF($H13=リスト!$AA$4,"-",
   IF($C13="-","-",
     IF(AZ$4&gt;$P13,"-",
       IF(AZ$4=1,$E13,OFFSET(AZ13,0,-2)-OFFSET(AZ13,0,-1)
))))</f>
        <v>-</v>
      </c>
      <c r="BA13" s="57" t="str">
        <f>IF($H13=リスト!$AA$4,"-",
 IF($C13="-","-",
  IF(AZ$4&gt;$P13,"-",
   CHOOSE(MATCH($H$3,リスト!$AE$3:$AE$5,0),
    ROUNDUP(
      AZ13*IF(AZ13*$I13&lt;=$L13,$J13,$I13)*
      IF($P13=1,
         $S13/12,
         IF(AZ$4=1,
            $T13/12,
            IF(AZ$4=$P13,
               $U13/12,
               1
      ))),0),
    ROUNDDOWN(
      AZ13*IF(AZ13*$I13&lt;=$L13,$J13,$I13)*
      IF($P13=1,
         $S13/12,
         IF(AZ$4=1,
            $T13/12,
            IF(AZ$4=$P13,
               $U13/12,
               1
      ))),0),
    ROUND(
      AZ13*IF(AZ13*$I13&lt;=$L13,$J13,$I13)*
      IF($P13=1,
         $S13/12,
         IF(AZ$4=1,
            $T13/12,
            IF(AZ$4=$P13,
               $U13/12,
               1
      ))),0)
))))</f>
        <v>-</v>
      </c>
      <c r="BB13" s="56" t="str">
        <f ca="1">IF($H13=リスト!$AA$4,"-",
   IF($C13="-","-",
     IF(BB$4&gt;$P13,"-",
       IF(BB$4=1,$E13,OFFSET(BB13,0,-2)-OFFSET(BB13,0,-1)
))))</f>
        <v>-</v>
      </c>
      <c r="BC13" s="57" t="str">
        <f>IF($H13=リスト!$AA$4,"-",
 IF($C13="-","-",
  IF(BB$4&gt;$P13,"-",
   CHOOSE(MATCH($H$3,リスト!$AE$3:$AE$5,0),
    ROUNDUP(
      BB13*IF(BB13*$I13&lt;=$L13,$J13,$I13)*
      IF($P13=1,
         $S13/12,
         IF(BB$4=1,
            $T13/12,
            IF(BB$4=$P13,
               $U13/12,
               1
      ))),0),
    ROUNDDOWN(
      BB13*IF(BB13*$I13&lt;=$L13,$J13,$I13)*
      IF($P13=1,
         $S13/12,
         IF(BB$4=1,
            $T13/12,
            IF(BB$4=$P13,
               $U13/12,
               1
      ))),0),
    ROUND(
      BB13*IF(BB13*$I13&lt;=$L13,$J13,$I13)*
      IF($P13=1,
         $S13/12,
         IF(BB$4=1,
            $T13/12,
            IF(BB$4=$P13,
               $U13/12,
               1
      ))),0)
))))</f>
        <v>-</v>
      </c>
      <c r="BD13" s="56" t="str">
        <f ca="1">IF($H13=リスト!$AA$4,"-",
   IF($C13="-","-",
     IF(BD$4&gt;$P13,"-",
       IF(BD$4=1,$E13,OFFSET(BD13,0,-2)-OFFSET(BD13,0,-1)
))))</f>
        <v>-</v>
      </c>
      <c r="BE13" s="57" t="str">
        <f>IF($H13=リスト!$AA$4,"-",
 IF($C13="-","-",
  IF(BD$4&gt;$P13,"-",
   CHOOSE(MATCH($H$3,リスト!$AE$3:$AE$5,0),
    ROUNDUP(
      BD13*IF(BD13*$I13&lt;=$L13,$J13,$I13)*
      IF($P13=1,
         $S13/12,
         IF(BD$4=1,
            $T13/12,
            IF(BD$4=$P13,
               $U13/12,
               1
      ))),0),
    ROUNDDOWN(
      BD13*IF(BD13*$I13&lt;=$L13,$J13,$I13)*
      IF($P13=1,
         $S13/12,
         IF(BD$4=1,
            $T13/12,
            IF(BD$4=$P13,
               $U13/12,
               1
      ))),0),
    ROUND(
      BD13*IF(BD13*$I13&lt;=$L13,$J13,$I13)*
      IF($P13=1,
         $S13/12,
         IF(BD$4=1,
            $T13/12,
            IF(BD$4=$P13,
               $U13/12,
               1
      ))),0)
))))</f>
        <v>-</v>
      </c>
      <c r="BF13" s="56" t="str">
        <f ca="1">IF($H13=リスト!$AA$4,"-",
   IF($C13="-","-",
     IF(BF$4&gt;$P13,"-",
       IF(BF$4=1,$E13,OFFSET(BF13,0,-2)-OFFSET(BF13,0,-1)
))))</f>
        <v>-</v>
      </c>
      <c r="BG13" s="57" t="str">
        <f>IF($H13=リスト!$AA$4,"-",
 IF($C13="-","-",
  IF(BF$4&gt;$P13,"-",
   CHOOSE(MATCH($H$3,リスト!$AE$3:$AE$5,0),
    ROUNDUP(
      BF13*IF(BF13*$I13&lt;=$L13,$J13,$I13)*
      IF($P13=1,
         $S13/12,
         IF(BF$4=1,
            $T13/12,
            IF(BF$4=$P13,
               $U13/12,
               1
      ))),0),
    ROUNDDOWN(
      BF13*IF(BF13*$I13&lt;=$L13,$J13,$I13)*
      IF($P13=1,
         $S13/12,
         IF(BF$4=1,
            $T13/12,
            IF(BF$4=$P13,
               $U13/12,
               1
      ))),0),
    ROUND(
      BF13*IF(BF13*$I13&lt;=$L13,$J13,$I13)*
      IF($P13=1,
         $S13/12,
         IF(BF$4=1,
            $T13/12,
            IF(BF$4=$P13,
               $U13/12,
               1
      ))),0)
))))</f>
        <v>-</v>
      </c>
      <c r="BH13" s="56" t="str">
        <f ca="1">IF($H13=リスト!$AA$4,"-",
   IF($C13="-","-",
     IF(BH$4&gt;$P13,"-",
       IF(BH$4=1,$E13,OFFSET(BH13,0,-2)-OFFSET(BH13,0,-1)
))))</f>
        <v>-</v>
      </c>
      <c r="BI13" s="57" t="str">
        <f>IF($H13=リスト!$AA$4,"-",
 IF($C13="-","-",
  IF(BH$4&gt;$P13,"-",
   CHOOSE(MATCH($H$3,リスト!$AE$3:$AE$5,0),
    ROUNDUP(
      BH13*IF(BH13*$I13&lt;=$L13,$J13,$I13)*
      IF($P13=1,
         $S13/12,
         IF(BH$4=1,
            $T13/12,
            IF(BH$4=$P13,
               $U13/12,
               1
      ))),0),
    ROUNDDOWN(
      BH13*IF(BH13*$I13&lt;=$L13,$J13,$I13)*
      IF($P13=1,
         $S13/12,
         IF(BH$4=1,
            $T13/12,
            IF(BH$4=$P13,
               $U13/12,
               1
      ))),0),
    ROUND(
      BH13*IF(BH13*$I13&lt;=$L13,$J13,$I13)*
      IF($P13=1,
         $S13/12,
         IF(BH$4=1,
            $T13/12,
            IF(BH$4=$P13,
               $U13/12,
               1
      ))),0)
))))</f>
        <v>-</v>
      </c>
      <c r="BJ13" s="56" t="str">
        <f ca="1">IF($H13=リスト!$AA$4,"-",
   IF($C13="-","-",
     IF(BJ$4&gt;$P13,"-",
       IF(BJ$4=1,$E13,OFFSET(BJ13,0,-2)-OFFSET(BJ13,0,-1)
))))</f>
        <v>-</v>
      </c>
      <c r="BK13" s="57" t="str">
        <f>IF($H13=リスト!$AA$4,"-",
 IF($C13="-","-",
  IF(BJ$4&gt;$P13,"-",
   CHOOSE(MATCH($H$3,リスト!$AE$3:$AE$5,0),
    ROUNDUP(
      BJ13*IF(BJ13*$I13&lt;=$L13,$J13,$I13)*
      IF($P13=1,
         $S13/12,
         IF(BJ$4=1,
            $T13/12,
            IF(BJ$4=$P13,
               $U13/12,
               1
      ))),0),
    ROUNDDOWN(
      BJ13*IF(BJ13*$I13&lt;=$L13,$J13,$I13)*
      IF($P13=1,
         $S13/12,
         IF(BJ$4=1,
            $T13/12,
            IF(BJ$4=$P13,
               $U13/12,
               1
      ))),0),
    ROUND(
      BJ13*IF(BJ13*$I13&lt;=$L13,$J13,$I13)*
      IF($P13=1,
         $S13/12,
         IF(BJ$4=1,
            $T13/12,
            IF(BJ$4=$P13,
               $U13/12,
               1
      ))),0)
))))</f>
        <v>-</v>
      </c>
      <c r="BL13" s="56" t="str">
        <f ca="1">IF($H13=リスト!$AA$4,"-",
   IF($C13="-","-",
     IF(BL$4&gt;$P13,"-",
       IF(BL$4=1,$E13,OFFSET(BL13,0,-2)-OFFSET(BL13,0,-1)
))))</f>
        <v>-</v>
      </c>
      <c r="BM13" s="57" t="str">
        <f>IF($H13=リスト!$AA$4,"-",
 IF($C13="-","-",
  IF(BL$4&gt;$P13,"-",
   CHOOSE(MATCH($H$3,リスト!$AE$3:$AE$5,0),
    ROUNDUP(
      BL13*IF(BL13*$I13&lt;=$L13,$J13,$I13)*
      IF($P13=1,
         $S13/12,
         IF(BL$4=1,
            $T13/12,
            IF(BL$4=$P13,
               $U13/12,
               1
      ))),0),
    ROUNDDOWN(
      BL13*IF(BL13*$I13&lt;=$L13,$J13,$I13)*
      IF($P13=1,
         $S13/12,
         IF(BL$4=1,
            $T13/12,
            IF(BL$4=$P13,
               $U13/12,
               1
      ))),0),
    ROUND(
      BL13*IF(BL13*$I13&lt;=$L13,$J13,$I13)*
      IF($P13=1,
         $S13/12,
         IF(BL$4=1,
            $T13/12,
            IF(BL$4=$P13,
               $U13/12,
               1
      ))),0)
))))</f>
        <v>-</v>
      </c>
      <c r="BN13" s="56" t="str">
        <f ca="1">IF($H13=リスト!$AA$4,"-",
   IF($C13="-","-",
     IF(BN$4&gt;$P13,"-",
       IF(BN$4=1,$E13,OFFSET(BN13,0,-2)-OFFSET(BN13,0,-1)
))))</f>
        <v>-</v>
      </c>
      <c r="BO13" s="57" t="str">
        <f>IF($H13=リスト!$AA$4,"-",
 IF($C13="-","-",
  IF(BN$4&gt;$P13,"-",
   CHOOSE(MATCH($H$3,リスト!$AE$3:$AE$5,0),
    ROUNDUP(
      BN13*IF(BN13*$I13&lt;=$L13,$J13,$I13)*
      IF($P13=1,
         $S13/12,
         IF(BN$4=1,
            $T13/12,
            IF(BN$4=$P13,
               $U13/12,
               1
      ))),0),
    ROUNDDOWN(
      BN13*IF(BN13*$I13&lt;=$L13,$J13,$I13)*
      IF($P13=1,
         $S13/12,
         IF(BN$4=1,
            $T13/12,
            IF(BN$4=$P13,
               $U13/12,
               1
      ))),0),
    ROUND(
      BN13*IF(BN13*$I13&lt;=$L13,$J13,$I13)*
      IF($P13=1,
         $S13/12,
         IF(BN$4=1,
            $T13/12,
            IF(BN$4=$P13,
               $U13/12,
               1
      ))),0)
))))</f>
        <v>-</v>
      </c>
      <c r="BP13" s="56" t="str">
        <f ca="1">IF($H13=リスト!$AA$4,"-",
   IF($C13="-","-",
     IF(BP$4&gt;$P13,"-",
       IF(BP$4=1,$E13,OFFSET(BP13,0,-2)-OFFSET(BP13,0,-1)
))))</f>
        <v>-</v>
      </c>
      <c r="BQ13" s="57" t="str">
        <f>IF($H13=リスト!$AA$4,"-",
 IF($C13="-","-",
  IF(BP$4&gt;$P13,"-",
   CHOOSE(MATCH($H$3,リスト!$AE$3:$AE$5,0),
    ROUNDUP(
      BP13*IF(BP13*$I13&lt;=$L13,$J13,$I13)*
      IF($P13=1,
         $S13/12,
         IF(BP$4=1,
            $T13/12,
            IF(BP$4=$P13,
               $U13/12,
               1
      ))),0),
    ROUNDDOWN(
      BP13*IF(BP13*$I13&lt;=$L13,$J13,$I13)*
      IF($P13=1,
         $S13/12,
         IF(BP$4=1,
            $T13/12,
            IF(BP$4=$P13,
               $U13/12,
               1
      ))),0),
    ROUND(
      BP13*IF(BP13*$I13&lt;=$L13,$J13,$I13)*
      IF($P13=1,
         $S13/12,
         IF(BP$4=1,
            $T13/12,
            IF(BP$4=$P13,
               $U13/12,
               1
      ))),0)
))))</f>
        <v>-</v>
      </c>
      <c r="BR13" s="56" t="str">
        <f ca="1">IF($H13=リスト!$AA$4,"-",
   IF($C13="-","-",
     IF(BR$4&gt;$P13,"-",
       IF(BR$4=1,$E13,OFFSET(BR13,0,-2)-OFFSET(BR13,0,-1)
))))</f>
        <v>-</v>
      </c>
      <c r="BS13" s="57" t="str">
        <f>IF($H13=リスト!$AA$4,"-",
 IF($C13="-","-",
  IF(BR$4&gt;$P13,"-",
   CHOOSE(MATCH($H$3,リスト!$AE$3:$AE$5,0),
    ROUNDUP(
      BR13*IF(BR13*$I13&lt;=$L13,$J13,$I13)*
      IF($P13=1,
         $S13/12,
         IF(BR$4=1,
            $T13/12,
            IF(BR$4=$P13,
               $U13/12,
               1
      ))),0),
    ROUNDDOWN(
      BR13*IF(BR13*$I13&lt;=$L13,$J13,$I13)*
      IF($P13=1,
         $S13/12,
         IF(BR$4=1,
            $T13/12,
            IF(BR$4=$P13,
               $U13/12,
               1
      ))),0),
    ROUND(
      BR13*IF(BR13*$I13&lt;=$L13,$J13,$I13)*
      IF($P13=1,
         $S13/12,
         IF(BR$4=1,
            $T13/12,
            IF(BR$4=$P13,
               $U13/12,
               1
      ))),0)
))))</f>
        <v>-</v>
      </c>
      <c r="BT13" s="56" t="str">
        <f ca="1">IF($H13=リスト!$AA$4,"-",
   IF($C13="-","-",
     IF(BT$4&gt;$P13,"-",
       IF(BT$4=1,$E13,OFFSET(BT13,0,-2)-OFFSET(BT13,0,-1)
))))</f>
        <v>-</v>
      </c>
      <c r="BU13" s="57" t="str">
        <f>IF($H13=リスト!$AA$4,"-",
 IF($C13="-","-",
  IF(BT$4&gt;$P13,"-",
   CHOOSE(MATCH($H$3,リスト!$AE$3:$AE$5,0),
    ROUNDUP(
      BT13*IF(BT13*$I13&lt;=$L13,$J13,$I13)*
      IF($P13=1,
         $S13/12,
         IF(BT$4=1,
            $T13/12,
            IF(BT$4=$P13,
               $U13/12,
               1
      ))),0),
    ROUNDDOWN(
      BT13*IF(BT13*$I13&lt;=$L13,$J13,$I13)*
      IF($P13=1,
         $S13/12,
         IF(BT$4=1,
            $T13/12,
            IF(BT$4=$P13,
               $U13/12,
               1
      ))),0),
    ROUND(
      BT13*IF(BT13*$I13&lt;=$L13,$J13,$I13)*
      IF($P13=1,
         $S13/12,
         IF(BT$4=1,
            $T13/12,
            IF(BT$4=$P13,
               $U13/12,
               1
      ))),0)
))))</f>
        <v>-</v>
      </c>
      <c r="BV13" s="56" t="str">
        <f ca="1">IF($H13=リスト!$AA$4,"-",
   IF($C13="-","-",
     IF(BV$4&gt;$P13,"-",
       IF(BV$4=1,$E13,OFFSET(BV13,0,-2)-OFFSET(BV13,0,-1)
))))</f>
        <v>-</v>
      </c>
      <c r="BW13" s="57" t="str">
        <f>IF($H13=リスト!$AA$4,"-",
 IF($C13="-","-",
  IF(BV$4&gt;$P13,"-",
   CHOOSE(MATCH($H$3,リスト!$AE$3:$AE$5,0),
    ROUNDUP(
      BV13*IF(BV13*$I13&lt;=$L13,$J13,$I13)*
      IF($P13=1,
         $S13/12,
         IF(BV$4=1,
            $T13/12,
            IF(BV$4=$P13,
               $U13/12,
               1
      ))),0),
    ROUNDDOWN(
      BV13*IF(BV13*$I13&lt;=$L13,$J13,$I13)*
      IF($P13=1,
         $S13/12,
         IF(BV$4=1,
            $T13/12,
            IF(BV$4=$P13,
               $U13/12,
               1
      ))),0),
    ROUND(
      BV13*IF(BV13*$I13&lt;=$L13,$J13,$I13)*
      IF($P13=1,
         $S13/12,
         IF(BV$4=1,
            $T13/12,
            IF(BV$4=$P13,
               $U13/12,
               1
      ))),0)
))))</f>
        <v>-</v>
      </c>
      <c r="BX13" s="56" t="str">
        <f ca="1">IF($H13=リスト!$AA$4,"-",
   IF($C13="-","-",
     IF(BX$4&gt;$P13,"-",
       IF(BX$4=1,$E13,OFFSET(BX13,0,-2)-OFFSET(BX13,0,-1)
))))</f>
        <v>-</v>
      </c>
      <c r="BY13" s="57" t="str">
        <f>IF($H13=リスト!$AA$4,"-",
 IF($C13="-","-",
  IF(BX$4&gt;$P13,"-",
   CHOOSE(MATCH($H$3,リスト!$AE$3:$AE$5,0),
    ROUNDUP(
      BX13*IF(BX13*$I13&lt;=$L13,$J13,$I13)*
      IF($P13=1,
         $S13/12,
         IF(BX$4=1,
            $T13/12,
            IF(BX$4=$P13,
               $U13/12,
               1
      ))),0),
    ROUNDDOWN(
      BX13*IF(BX13*$I13&lt;=$L13,$J13,$I13)*
      IF($P13=1,
         $S13/12,
         IF(BX$4=1,
            $T13/12,
            IF(BX$4=$P13,
               $U13/12,
               1
      ))),0),
    ROUND(
      BX13*IF(BX13*$I13&lt;=$L13,$J13,$I13)*
      IF($P13=1,
         $S13/12,
         IF(BX$4=1,
            $T13/12,
            IF(BX$4=$P13,
               $U13/12,
               1
      ))),0)
))))</f>
        <v>-</v>
      </c>
      <c r="BZ13" s="56" t="str">
        <f ca="1">IF($H13=リスト!$AA$4,"-",
   IF($C13="-","-",
     IF(BZ$4&gt;$P13,"-",
       IF(BZ$4=1,$E13,OFFSET(BZ13,0,-2)-OFFSET(BZ13,0,-1)
))))</f>
        <v>-</v>
      </c>
      <c r="CA13" s="57" t="str">
        <f>IF($H13=リスト!$AA$4,"-",
 IF($C13="-","-",
  IF(BZ$4&gt;$P13,"-",
   CHOOSE(MATCH($H$3,リスト!$AE$3:$AE$5,0),
    ROUNDUP(
      BZ13*IF(BZ13*$I13&lt;=$L13,$J13,$I13)*
      IF($P13=1,
         $S13/12,
         IF(BZ$4=1,
            $T13/12,
            IF(BZ$4=$P13,
               $U13/12,
               1
      ))),0),
    ROUNDDOWN(
      BZ13*IF(BZ13*$I13&lt;=$L13,$J13,$I13)*
      IF($P13=1,
         $S13/12,
         IF(BZ$4=1,
            $T13/12,
            IF(BZ$4=$P13,
               $U13/12,
               1
      ))),0),
    ROUND(
      BZ13*IF(BZ13*$I13&lt;=$L13,$J13,$I13)*
      IF($P13=1,
         $S13/12,
         IF(BZ$4=1,
            $T13/12,
            IF(BZ$4=$P13,
               $U13/12,
               1
      ))),0)
))))</f>
        <v>-</v>
      </c>
      <c r="CB13" s="56" t="str">
        <f ca="1">IF($H13=リスト!$AA$4,"-",
   IF($C13="-","-",
     IF(CB$4&gt;$P13,"-",
       IF(CB$4=1,$E13,OFFSET(CB13,0,-2)-OFFSET(CB13,0,-1)
))))</f>
        <v>-</v>
      </c>
      <c r="CC13" s="57" t="str">
        <f>IF($H13=リスト!$AA$4,"-",
 IF($C13="-","-",
  IF(CB$4&gt;$P13,"-",
   CHOOSE(MATCH($H$3,リスト!$AE$3:$AE$5,0),
    ROUNDUP(
      CB13*IF(CB13*$I13&lt;=$L13,$J13,$I13)*
      IF($P13=1,
         $S13/12,
         IF(CB$4=1,
            $T13/12,
            IF(CB$4=$P13,
               $U13/12,
               1
      ))),0),
    ROUNDDOWN(
      CB13*IF(CB13*$I13&lt;=$L13,$J13,$I13)*
      IF($P13=1,
         $S13/12,
         IF(CB$4=1,
            $T13/12,
            IF(CB$4=$P13,
               $U13/12,
               1
      ))),0),
    ROUND(
      CB13*IF(CB13*$I13&lt;=$L13,$J13,$I13)*
      IF($P13=1,
         $S13/12,
         IF(CB$4=1,
            $T13/12,
            IF(CB$4=$P13,
               $U13/12,
               1
      ))),0)
))))</f>
        <v>-</v>
      </c>
      <c r="CD13" s="56" t="str">
        <f ca="1">IF($H13=リスト!$AA$4,"-",
   IF($C13="-","-",
     IF(CD$4&gt;$P13,"-",
       IF(CD$4=1,$E13,OFFSET(CD13,0,-2)-OFFSET(CD13,0,-1)
))))</f>
        <v>-</v>
      </c>
      <c r="CE13" s="57" t="str">
        <f>IF($H13=リスト!$AA$4,"-",
 IF($C13="-","-",
  IF(CD$4&gt;$P13,"-",
   CHOOSE(MATCH($H$3,リスト!$AE$3:$AE$5,0),
    ROUNDUP(
      CD13*IF(CD13*$I13&lt;=$L13,$J13,$I13)*
      IF($P13=1,
         $S13/12,
         IF(CD$4=1,
            $T13/12,
            IF(CD$4=$P13,
               $U13/12,
               1
      ))),0),
    ROUNDDOWN(
      CD13*IF(CD13*$I13&lt;=$L13,$J13,$I13)*
      IF($P13=1,
         $S13/12,
         IF(CD$4=1,
            $T13/12,
            IF(CD$4=$P13,
               $U13/12,
               1
      ))),0),
    ROUND(
      CD13*IF(CD13*$I13&lt;=$L13,$J13,$I13)*
      IF($P13=1,
         $S13/12,
         IF(CD$4=1,
            $T13/12,
            IF(CD$4=$P13,
               $U13/12,
               1
      ))),0)
))))</f>
        <v>-</v>
      </c>
      <c r="CF13" s="56" t="str">
        <f ca="1">IF($H13=リスト!$AA$4,"-",
   IF($C13="-","-",
     IF(CF$4&gt;$P13,"-",
       IF(CF$4=1,$E13,OFFSET(CF13,0,-2)-OFFSET(CF13,0,-1)
))))</f>
        <v>-</v>
      </c>
      <c r="CG13" s="57" t="str">
        <f>IF($H13=リスト!$AA$4,"-",
 IF($C13="-","-",
  IF(CF$4&gt;$P13,"-",
   CHOOSE(MATCH($H$3,リスト!$AE$3:$AE$5,0),
    ROUNDUP(
      CF13*IF(CF13*$I13&lt;=$L13,$J13,$I13)*
      IF($P13=1,
         $S13/12,
         IF(CF$4=1,
            $T13/12,
            IF(CF$4=$P13,
               $U13/12,
               1
      ))),0),
    ROUNDDOWN(
      CF13*IF(CF13*$I13&lt;=$L13,$J13,$I13)*
      IF($P13=1,
         $S13/12,
         IF(CF$4=1,
            $T13/12,
            IF(CF$4=$P13,
               $U13/12,
               1
      ))),0),
    ROUND(
      CF13*IF(CF13*$I13&lt;=$L13,$J13,$I13)*
      IF($P13=1,
         $S13/12,
         IF(CF$4=1,
            $T13/12,
            IF(CF$4=$P13,
               $U13/12,
               1
      ))),0)
))))</f>
        <v>-</v>
      </c>
      <c r="CH13" s="56" t="str">
        <f ca="1">IF($H13=リスト!$AA$4,"-",
   IF($C13="-","-",
     IF(CH$4&gt;$P13,"-",
       IF(CH$4=1,$E13,OFFSET(CH13,0,-2)-OFFSET(CH13,0,-1)
))))</f>
        <v>-</v>
      </c>
      <c r="CI13" s="57" t="str">
        <f>IF($H13=リスト!$AA$4,"-",
 IF($C13="-","-",
  IF(CH$4&gt;$P13,"-",
   CHOOSE(MATCH($H$3,リスト!$AE$3:$AE$5,0),
    ROUNDUP(
      CH13*IF(CH13*$I13&lt;=$L13,$J13,$I13)*
      IF($P13=1,
         $S13/12,
         IF(CH$4=1,
            $T13/12,
            IF(CH$4=$P13,
               $U13/12,
               1
      ))),0),
    ROUNDDOWN(
      CH13*IF(CH13*$I13&lt;=$L13,$J13,$I13)*
      IF($P13=1,
         $S13/12,
         IF(CH$4=1,
            $T13/12,
            IF(CH$4=$P13,
               $U13/12,
               1
      ))),0),
    ROUND(
      CH13*IF(CH13*$I13&lt;=$L13,$J13,$I13)*
      IF($P13=1,
         $S13/12,
         IF(CH$4=1,
            $T13/12,
            IF(CH$4=$P13,
               $U13/12,
               1
      ))),0)
))))</f>
        <v>-</v>
      </c>
      <c r="CJ13" s="56" t="str">
        <f ca="1">IF($H13=リスト!$AA$4,"-",
   IF($C13="-","-",
     IF(CJ$4&gt;$P13,"-",
       IF(CJ$4=1,$E13,OFFSET(CJ13,0,-2)-OFFSET(CJ13,0,-1)
))))</f>
        <v>-</v>
      </c>
      <c r="CK13" s="57" t="str">
        <f>IF($H13=リスト!$AA$4,"-",
 IF($C13="-","-",
  IF(CJ$4&gt;$P13,"-",
   CHOOSE(MATCH($H$3,リスト!$AE$3:$AE$5,0),
    ROUNDUP(
      CJ13*IF(CJ13*$I13&lt;=$L13,$J13,$I13)*
      IF($P13=1,
         $S13/12,
         IF(CJ$4=1,
            $T13/12,
            IF(CJ$4=$P13,
               $U13/12,
               1
      ))),0),
    ROUNDDOWN(
      CJ13*IF(CJ13*$I13&lt;=$L13,$J13,$I13)*
      IF($P13=1,
         $S13/12,
         IF(CJ$4=1,
            $T13/12,
            IF(CJ$4=$P13,
               $U13/12,
               1
      ))),0),
    ROUND(
      CJ13*IF(CJ13*$I13&lt;=$L13,$J13,$I13)*
      IF($P13=1,
         $S13/12,
         IF(CJ$4=1,
            $T13/12,
            IF(CJ$4=$P13,
               $U13/12,
               1
      ))),0)
))))</f>
        <v>-</v>
      </c>
      <c r="CL13" s="56" t="str">
        <f ca="1">IF($H13=リスト!$AA$4,"-",
   IF($C13="-","-",
     IF(CL$4&gt;$P13,"-",
       IF(CL$4=1,$E13,OFFSET(CL13,0,-2)-OFFSET(CL13,0,-1)
))))</f>
        <v>-</v>
      </c>
      <c r="CM13" s="57" t="str">
        <f>IF($H13=リスト!$AA$4,"-",
 IF($C13="-","-",
  IF(CL$4&gt;$P13,"-",
   CHOOSE(MATCH($H$3,リスト!$AE$3:$AE$5,0),
    ROUNDUP(
      CL13*IF(CL13*$I13&lt;=$L13,$J13,$I13)*
      IF($P13=1,
         $S13/12,
         IF(CL$4=1,
            $T13/12,
            IF(CL$4=$P13,
               $U13/12,
               1
      ))),0),
    ROUNDDOWN(
      CL13*IF(CL13*$I13&lt;=$L13,$J13,$I13)*
      IF($P13=1,
         $S13/12,
         IF(CL$4=1,
            $T13/12,
            IF(CL$4=$P13,
               $U13/12,
               1
      ))),0),
    ROUND(
      CL13*IF(CL13*$I13&lt;=$L13,$J13,$I13)*
      IF($P13=1,
         $S13/12,
         IF(CL$4=1,
            $T13/12,
            IF(CL$4=$P13,
               $U13/12,
               1
      ))),0)
))))</f>
        <v>-</v>
      </c>
      <c r="CN13" s="56" t="str">
        <f ca="1">IF($H13=リスト!$AA$4,"-",
   IF($C13="-","-",
     IF(CN$4&gt;$P13,"-",
       IF(CN$4=1,$E13,OFFSET(CN13,0,-2)-OFFSET(CN13,0,-1)
))))</f>
        <v>-</v>
      </c>
      <c r="CO13" s="57" t="str">
        <f>IF($H13=リスト!$AA$4,"-",
 IF($C13="-","-",
  IF(CN$4&gt;$P13,"-",
   CHOOSE(MATCH($H$3,リスト!$AE$3:$AE$5,0),
    ROUNDUP(
      CN13*IF(CN13*$I13&lt;=$L13,$J13,$I13)*
      IF($P13=1,
         $S13/12,
         IF(CN$4=1,
            $T13/12,
            IF(CN$4=$P13,
               $U13/12,
               1
      ))),0),
    ROUNDDOWN(
      CN13*IF(CN13*$I13&lt;=$L13,$J13,$I13)*
      IF($P13=1,
         $S13/12,
         IF(CN$4=1,
            $T13/12,
            IF(CN$4=$P13,
               $U13/12,
               1
      ))),0),
    ROUND(
      CN13*IF(CN13*$I13&lt;=$L13,$J13,$I13)*
      IF($P13=1,
         $S13/12,
         IF(CN$4=1,
            $T13/12,
            IF(CN$4=$P13,
               $U13/12,
               1
      ))),0)
))))</f>
        <v>-</v>
      </c>
      <c r="CP13" s="56" t="str">
        <f ca="1">IF($H13=リスト!$AA$4,"-",
   IF($C13="-","-",
     IF(CP$4&gt;$P13,"-",
       IF(CP$4=1,$E13,OFFSET(CP13,0,-2)-OFFSET(CP13,0,-1)
))))</f>
        <v>-</v>
      </c>
      <c r="CQ13" s="57" t="str">
        <f>IF($H13=リスト!$AA$4,"-",
 IF($C13="-","-",
  IF(CP$4&gt;$P13,"-",
   CHOOSE(MATCH($H$3,リスト!$AE$3:$AE$5,0),
    ROUNDUP(
      CP13*IF(CP13*$I13&lt;=$L13,$J13,$I13)*
      IF($P13=1,
         $S13/12,
         IF(CP$4=1,
            $T13/12,
            IF(CP$4=$P13,
               $U13/12,
               1
      ))),0),
    ROUNDDOWN(
      CP13*IF(CP13*$I13&lt;=$L13,$J13,$I13)*
      IF($P13=1,
         $S13/12,
         IF(CP$4=1,
            $T13/12,
            IF(CP$4=$P13,
               $U13/12,
               1
      ))),0),
    ROUND(
      CP13*IF(CP13*$I13&lt;=$L13,$J13,$I13)*
      IF($P13=1,
         $S13/12,
         IF(CP$4=1,
            $T13/12,
            IF(CP$4=$P13,
               $U13/12,
               1
      ))),0)
))))</f>
        <v>-</v>
      </c>
      <c r="CR13" s="56" t="str">
        <f ca="1">IF($H13=リスト!$AA$4,"-",
   IF($C13="-","-",
     IF(CR$4&gt;$P13,"-",
       IF(CR$4=1,$E13,OFFSET(CR13,0,-2)-OFFSET(CR13,0,-1)
))))</f>
        <v>-</v>
      </c>
      <c r="CS13" s="57" t="str">
        <f>IF($H13=リスト!$AA$4,"-",
 IF($C13="-","-",
  IF(CR$4&gt;$P13,"-",
   CHOOSE(MATCH($H$3,リスト!$AE$3:$AE$5,0),
    ROUNDUP(
      CR13*IF(CR13*$I13&lt;=$L13,$J13,$I13)*
      IF($P13=1,
         $S13/12,
         IF(CR$4=1,
            $T13/12,
            IF(CR$4=$P13,
               $U13/12,
               1
      ))),0),
    ROUNDDOWN(
      CR13*IF(CR13*$I13&lt;=$L13,$J13,$I13)*
      IF($P13=1,
         $S13/12,
         IF(CR$4=1,
            $T13/12,
            IF(CR$4=$P13,
               $U13/12,
               1
      ))),0),
    ROUND(
      CR13*IF(CR13*$I13&lt;=$L13,$J13,$I13)*
      IF($P13=1,
         $S13/12,
         IF(CR$4=1,
            $T13/12,
            IF(CR$4=$P13,
               $U13/12,
               1
      ))),0)
))))</f>
        <v>-</v>
      </c>
      <c r="CT13" s="56" t="str">
        <f ca="1">IF($H13=リスト!$AA$4,"-",
   IF($C13="-","-",
     IF(CT$4&gt;$P13,"-",
       IF(CT$4=1,$E13,OFFSET(CT13,0,-2)-OFFSET(CT13,0,-1)
))))</f>
        <v>-</v>
      </c>
      <c r="CU13" s="57" t="str">
        <f>IF($H13=リスト!$AA$4,"-",
 IF($C13="-","-",
  IF(CT$4&gt;$P13,"-",
   CHOOSE(MATCH($H$3,リスト!$AE$3:$AE$5,0),
    ROUNDUP(
      CT13*IF(CT13*$I13&lt;=$L13,$J13,$I13)*
      IF($P13=1,
         $S13/12,
         IF(CT$4=1,
            $T13/12,
            IF(CT$4=$P13,
               $U13/12,
               1
      ))),0),
    ROUNDDOWN(
      CT13*IF(CT13*$I13&lt;=$L13,$J13,$I13)*
      IF($P13=1,
         $S13/12,
         IF(CT$4=1,
            $T13/12,
            IF(CT$4=$P13,
               $U13/12,
               1
      ))),0),
    ROUND(
      CT13*IF(CT13*$I13&lt;=$L13,$J13,$I13)*
      IF($P13=1,
         $S13/12,
         IF(CT$4=1,
            $T13/12,
            IF(CT$4=$P13,
               $U13/12,
               1
      ))),0)
))))</f>
        <v>-</v>
      </c>
      <c r="CV13" s="56" t="str">
        <f ca="1">IF($H13=リスト!$AA$4,"-",
   IF($C13="-","-",
     IF(CV$4&gt;$P13,"-",
       IF(CV$4=1,$E13,OFFSET(CV13,0,-2)-OFFSET(CV13,0,-1)
))))</f>
        <v>-</v>
      </c>
      <c r="CW13" s="57" t="str">
        <f>IF($H13=リスト!$AA$4,"-",
 IF($C13="-","-",
  IF(CV$4&gt;$P13,"-",
   CHOOSE(MATCH($H$3,リスト!$AE$3:$AE$5,0),
    ROUNDUP(
      CV13*IF(CV13*$I13&lt;=$L13,$J13,$I13)*
      IF($P13=1,
         $S13/12,
         IF(CV$4=1,
            $T13/12,
            IF(CV$4=$P13,
               $U13/12,
               1
      ))),0),
    ROUNDDOWN(
      CV13*IF(CV13*$I13&lt;=$L13,$J13,$I13)*
      IF($P13=1,
         $S13/12,
         IF(CV$4=1,
            $T13/12,
            IF(CV$4=$P13,
               $U13/12,
               1
      ))),0),
    ROUND(
      CV13*IF(CV13*$I13&lt;=$L13,$J13,$I13)*
      IF($P13=1,
         $S13/12,
         IF(CV$4=1,
            $T13/12,
            IF(CV$4=$P13,
               $U13/12,
               1
      ))),0)
))))</f>
        <v>-</v>
      </c>
      <c r="CX13" s="56" t="str">
        <f ca="1">IF($H13=リスト!$AA$4,"-",
   IF($C13="-","-",
     IF(CX$4&gt;$P13,"-",
       IF(CX$4=1,$E13,OFFSET(CX13,0,-2)-OFFSET(CX13,0,-1)
))))</f>
        <v>-</v>
      </c>
      <c r="CY13" s="57" t="str">
        <f>IF($H13=リスト!$AA$4,"-",
 IF($C13="-","-",
  IF(CX$4&gt;$P13,"-",
   CHOOSE(MATCH($H$3,リスト!$AE$3:$AE$5,0),
    ROUNDUP(
      CX13*IF(CX13*$I13&lt;=$L13,$J13,$I13)*
      IF($P13=1,
         $S13/12,
         IF(CX$4=1,
            $T13/12,
            IF(CX$4=$P13,
               $U13/12,
               1
      ))),0),
    ROUNDDOWN(
      CX13*IF(CX13*$I13&lt;=$L13,$J13,$I13)*
      IF($P13=1,
         $S13/12,
         IF(CX$4=1,
            $T13/12,
            IF(CX$4=$P13,
               $U13/12,
               1
      ))),0),
    ROUND(
      CX13*IF(CX13*$I13&lt;=$L13,$J13,$I13)*
      IF($P13=1,
         $S13/12,
         IF(CX$4=1,
            $T13/12,
            IF(CX$4=$P13,
               $U13/12,
               1
      ))),0)
))))</f>
        <v>-</v>
      </c>
      <c r="CZ13" s="56" t="str">
        <f ca="1">IF($H13=リスト!$AA$4,"-",
   IF($C13="-","-",
     IF(CZ$4&gt;$P13,"-",
       IF(CZ$4=1,$E13,OFFSET(CZ13,0,-2)-OFFSET(CZ13,0,-1)
))))</f>
        <v>-</v>
      </c>
      <c r="DA13" s="57" t="str">
        <f>IF($H13=リスト!$AA$4,"-",
 IF($C13="-","-",
  IF(CZ$4&gt;$P13,"-",
   CHOOSE(MATCH($H$3,リスト!$AE$3:$AE$5,0),
    ROUNDUP(
      CZ13*IF(CZ13*$I13&lt;=$L13,$J13,$I13)*
      IF($P13=1,
         $S13/12,
         IF(CZ$4=1,
            $T13/12,
            IF(CZ$4=$P13,
               $U13/12,
               1
      ))),0),
    ROUNDDOWN(
      CZ13*IF(CZ13*$I13&lt;=$L13,$J13,$I13)*
      IF($P13=1,
         $S13/12,
         IF(CZ$4=1,
            $T13/12,
            IF(CZ$4=$P13,
               $U13/12,
               1
      ))),0),
    ROUND(
      CZ13*IF(CZ13*$I13&lt;=$L13,$J13,$I13)*
      IF($P13=1,
         $S13/12,
         IF(CZ$4=1,
            $T13/12,
            IF(CZ$4=$P13,
               $U13/12,
               1
      ))),0)
))))</f>
        <v>-</v>
      </c>
      <c r="DB13" s="56" t="str">
        <f ca="1">IF($H13=リスト!$AA$4,"-",
   IF($C13="-","-",
     IF(DB$4&gt;$P13,"-",
       IF(DB$4=1,$E13,OFFSET(DB13,0,-2)-OFFSET(DB13,0,-1)
))))</f>
        <v>-</v>
      </c>
      <c r="DC13" s="57" t="str">
        <f>IF($H13=リスト!$AA$4,"-",
 IF($C13="-","-",
  IF(DB$4&gt;$P13,"-",
   CHOOSE(MATCH($H$3,リスト!$AE$3:$AE$5,0),
    ROUNDUP(
      DB13*IF(DB13*$I13&lt;=$L13,$J13,$I13)*
      IF($P13=1,
         $S13/12,
         IF(DB$4=1,
            $T13/12,
            IF(DB$4=$P13,
               $U13/12,
               1
      ))),0),
    ROUNDDOWN(
      DB13*IF(DB13*$I13&lt;=$L13,$J13,$I13)*
      IF($P13=1,
         $S13/12,
         IF(DB$4=1,
            $T13/12,
            IF(DB$4=$P13,
               $U13/12,
               1
      ))),0),
    ROUND(
      DB13*IF(DB13*$I13&lt;=$L13,$J13,$I13)*
      IF($P13=1,
         $S13/12,
         IF(DB$4=1,
            $T13/12,
            IF(DB$4=$P13,
               $U13/12,
               1
      ))),0)
))))</f>
        <v>-</v>
      </c>
      <c r="DD13" s="56" t="str">
        <f ca="1">IF($H13=リスト!$AA$4,"-",
   IF($C13="-","-",
     IF(DD$4&gt;$P13,"-",
       IF(DD$4=1,$E13,OFFSET(DD13,0,-2)-OFFSET(DD13,0,-1)
))))</f>
        <v>-</v>
      </c>
      <c r="DE13" s="57" t="str">
        <f>IF($H13=リスト!$AA$4,"-",
 IF($C13="-","-",
  IF(DD$4&gt;$P13,"-",
   CHOOSE(MATCH($H$3,リスト!$AE$3:$AE$5,0),
    ROUNDUP(
      DD13*IF(DD13*$I13&lt;=$L13,$J13,$I13)*
      IF($P13=1,
         $S13/12,
         IF(DD$4=1,
            $T13/12,
            IF(DD$4=$P13,
               $U13/12,
               1
      ))),0),
    ROUNDDOWN(
      DD13*IF(DD13*$I13&lt;=$L13,$J13,$I13)*
      IF($P13=1,
         $S13/12,
         IF(DD$4=1,
            $T13/12,
            IF(DD$4=$P13,
               $U13/12,
               1
      ))),0),
    ROUND(
      DD13*IF(DD13*$I13&lt;=$L13,$J13,$I13)*
      IF($P13=1,
         $S13/12,
         IF(DD$4=1,
            $T13/12,
            IF(DD$4=$P13,
               $U13/12,
               1
      ))),0)
))))</f>
        <v>-</v>
      </c>
      <c r="DF13" s="56" t="str">
        <f ca="1">IF($H13=リスト!$AA$4,"-",
   IF($C13="-","-",
     IF(DF$4&gt;$P13,"-",
       IF(DF$4=1,$E13,OFFSET(DF13,0,-2)-OFFSET(DF13,0,-1)
))))</f>
        <v>-</v>
      </c>
      <c r="DG13" s="57" t="str">
        <f>IF($H13=リスト!$AA$4,"-",
 IF($C13="-","-",
  IF(DF$4&gt;$P13,"-",
   CHOOSE(MATCH($H$3,リスト!$AE$3:$AE$5,0),
    ROUNDUP(
      DF13*IF(DF13*$I13&lt;=$L13,$J13,$I13)*
      IF($P13=1,
         $S13/12,
         IF(DF$4=1,
            $T13/12,
            IF(DF$4=$P13,
               $U13/12,
               1
      ))),0),
    ROUNDDOWN(
      DF13*IF(DF13*$I13&lt;=$L13,$J13,$I13)*
      IF($P13=1,
         $S13/12,
         IF(DF$4=1,
            $T13/12,
            IF(DF$4=$P13,
               $U13/12,
               1
      ))),0),
    ROUND(
      DF13*IF(DF13*$I13&lt;=$L13,$J13,$I13)*
      IF($P13=1,
         $S13/12,
         IF(DF$4=1,
            $T13/12,
            IF(DF$4=$P13,
               $U13/12,
               1
      ))),0)
))))</f>
        <v>-</v>
      </c>
      <c r="DH13" s="56" t="str">
        <f ca="1">IF($H13=リスト!$AA$4,"-",
   IF($C13="-","-",
     IF(DH$4&gt;$P13,"-",
       IF(DH$4=1,$E13,OFFSET(DH13,0,-2)-OFFSET(DH13,0,-1)
))))</f>
        <v>-</v>
      </c>
      <c r="DI13" s="57" t="str">
        <f>IF($H13=リスト!$AA$4,"-",
 IF($C13="-","-",
  IF(DH$4&gt;$P13,"-",
   CHOOSE(MATCH($H$3,リスト!$AE$3:$AE$5,0),
    ROUNDUP(
      DH13*IF(DH13*$I13&lt;=$L13,$J13,$I13)*
      IF($P13=1,
         $S13/12,
         IF(DH$4=1,
            $T13/12,
            IF(DH$4=$P13,
               $U13/12,
               1
      ))),0),
    ROUNDDOWN(
      DH13*IF(DH13*$I13&lt;=$L13,$J13,$I13)*
      IF($P13=1,
         $S13/12,
         IF(DH$4=1,
            $T13/12,
            IF(DH$4=$P13,
               $U13/12,
               1
      ))),0),
    ROUND(
      DH13*IF(DH13*$I13&lt;=$L13,$J13,$I13)*
      IF($P13=1,
         $S13/12,
         IF(DH$4=1,
            $T13/12,
            IF(DH$4=$P13,
               $U13/12,
               1
      ))),0)
))))</f>
        <v>-</v>
      </c>
      <c r="DJ13" s="56" t="str">
        <f ca="1">IF($H13=リスト!$AA$4,"-",
   IF($C13="-","-",
     IF(DJ$4&gt;$P13,"-",
       IF(DJ$4=1,$E13,OFFSET(DJ13,0,-2)-OFFSET(DJ13,0,-1)
))))</f>
        <v>-</v>
      </c>
      <c r="DK13" s="57" t="str">
        <f>IF($H13=リスト!$AA$4,"-",
 IF($C13="-","-",
  IF(DJ$4&gt;$P13,"-",
   CHOOSE(MATCH($H$3,リスト!$AE$3:$AE$5,0),
    ROUNDUP(
      DJ13*IF(DJ13*$I13&lt;=$L13,$J13,$I13)*
      IF($P13=1,
         $S13/12,
         IF(DJ$4=1,
            $T13/12,
            IF(DJ$4=$P13,
               $U13/12,
               1
      ))),0),
    ROUNDDOWN(
      DJ13*IF(DJ13*$I13&lt;=$L13,$J13,$I13)*
      IF($P13=1,
         $S13/12,
         IF(DJ$4=1,
            $T13/12,
            IF(DJ$4=$P13,
               $U13/12,
               1
      ))),0),
    ROUND(
      DJ13*IF(DJ13*$I13&lt;=$L13,$J13,$I13)*
      IF($P13=1,
         $S13/12,
         IF(DJ$4=1,
            $T13/12,
            IF(DJ$4=$P13,
               $U13/12,
               1
      ))),0)
))))</f>
        <v>-</v>
      </c>
      <c r="DL13" s="56" t="str">
        <f ca="1">IF($H13=リスト!$AA$4,"-",
   IF($C13="-","-",
     IF(DL$4&gt;$P13,"-",
       IF(DL$4=1,$E13,OFFSET(DL13,0,-2)-OFFSET(DL13,0,-1)
))))</f>
        <v>-</v>
      </c>
      <c r="DM13" s="57" t="str">
        <f>IF($H13=リスト!$AA$4,"-",
 IF($C13="-","-",
  IF(DL$4&gt;$P13,"-",
   CHOOSE(MATCH($H$3,リスト!$AE$3:$AE$5,0),
    ROUNDUP(
      DL13*IF(DL13*$I13&lt;=$L13,$J13,$I13)*
      IF($P13=1,
         $S13/12,
         IF(DL$4=1,
            $T13/12,
            IF(DL$4=$P13,
               $U13/12,
               1
      ))),0),
    ROUNDDOWN(
      DL13*IF(DL13*$I13&lt;=$L13,$J13,$I13)*
      IF($P13=1,
         $S13/12,
         IF(DL$4=1,
            $T13/12,
            IF(DL$4=$P13,
               $U13/12,
               1
      ))),0),
    ROUND(
      DL13*IF(DL13*$I13&lt;=$L13,$J13,$I13)*
      IF($P13=1,
         $S13/12,
         IF(DL$4=1,
            $T13/12,
            IF(DL$4=$P13,
               $U13/12,
               1
      ))),0)
))))</f>
        <v>-</v>
      </c>
      <c r="DN13" s="56" t="str">
        <f ca="1">IF($H13=リスト!$AA$4,"-",
   IF($C13="-","-",
     IF(DN$4&gt;$P13,"-",
       IF(DN$4=1,$E13,OFFSET(DN13,0,-2)-OFFSET(DN13,0,-1)
))))</f>
        <v>-</v>
      </c>
      <c r="DO13" s="57" t="str">
        <f>IF($H13=リスト!$AA$4,"-",
 IF($C13="-","-",
  IF(DN$4&gt;$P13,"-",
   CHOOSE(MATCH($H$3,リスト!$AE$3:$AE$5,0),
    ROUNDUP(
      DN13*IF(DN13*$I13&lt;=$L13,$J13,$I13)*
      IF($P13=1,
         $S13/12,
         IF(DN$4=1,
            $T13/12,
            IF(DN$4=$P13,
               $U13/12,
               1
      ))),0),
    ROUNDDOWN(
      DN13*IF(DN13*$I13&lt;=$L13,$J13,$I13)*
      IF($P13=1,
         $S13/12,
         IF(DN$4=1,
            $T13/12,
            IF(DN$4=$P13,
               $U13/12,
               1
      ))),0),
    ROUND(
      DN13*IF(DN13*$I13&lt;=$L13,$J13,$I13)*
      IF($P13=1,
         $S13/12,
         IF(DN$4=1,
            $T13/12,
            IF(DN$4=$P13,
               $U13/12,
               1
      ))),0)
))))</f>
        <v>-</v>
      </c>
      <c r="DP13" s="56" t="str">
        <f ca="1">IF($H13=リスト!$AA$4,"-",
   IF($C13="-","-",
     IF(DP$4&gt;$P13,"-",
       IF(DP$4=1,$E13,OFFSET(DP13,0,-2)-OFFSET(DP13,0,-1)
))))</f>
        <v>-</v>
      </c>
      <c r="DQ13" s="57" t="str">
        <f>IF($H13=リスト!$AA$4,"-",
 IF($C13="-","-",
  IF(DP$4&gt;$P13,"-",
   CHOOSE(MATCH($H$3,リスト!$AE$3:$AE$5,0),
    ROUNDUP(
      DP13*IF(DP13*$I13&lt;=$L13,$J13,$I13)*
      IF($P13=1,
         $S13/12,
         IF(DP$4=1,
            $T13/12,
            IF(DP$4=$P13,
               $U13/12,
               1
      ))),0),
    ROUNDDOWN(
      DP13*IF(DP13*$I13&lt;=$L13,$J13,$I13)*
      IF($P13=1,
         $S13/12,
         IF(DP$4=1,
            $T13/12,
            IF(DP$4=$P13,
               $U13/12,
               1
      ))),0),
    ROUND(
      DP13*IF(DP13*$I13&lt;=$L13,$J13,$I13)*
      IF($P13=1,
         $S13/12,
         IF(DP$4=1,
            $T13/12,
            IF(DP$4=$P13,
               $U13/12,
               1
      ))),0)
))))</f>
        <v>-</v>
      </c>
      <c r="DR13" s="56" t="str">
        <f ca="1">IF($H13=リスト!$AA$4,"-",
   IF($C13="-","-",
     IF(DR$4&gt;$P13,"-",
       IF(DR$4=1,$E13,OFFSET(DR13,0,-2)-OFFSET(DR13,0,-1)
))))</f>
        <v>-</v>
      </c>
      <c r="DS13" s="57" t="str">
        <f>IF($H13=リスト!$AA$4,"-",
 IF($C13="-","-",
  IF(DR$4&gt;$P13,"-",
   CHOOSE(MATCH($H$3,リスト!$AE$3:$AE$5,0),
    ROUNDUP(
      DR13*IF(DR13*$I13&lt;=$L13,$J13,$I13)*
      IF($P13=1,
         ($G13-$F13+1)/$Q13,
         IF(DR$4=1,
            ($M13-$F13+1)/$Q13,
            IF(DR$4=$P13,
               ($G13-$O13+1)/$R13,
               1
      ))),0),
    ROUNDDOWN(
      DR13*IF(DR13*$I13&lt;=$L13,$J13,$I13)*
      IF($P13=1,
         ($G13-$F13+1)/$Q13,
         IF(DR$4=1,
            ($M13-$F13+1)/$Q13,
            IF(DR$4=$P13,
               ($G13-$O13+1)/$R13,
               1
      ))),0),
    ROUND(
      DR13*IF(DR13*$I13&lt;=$L13,$J13,$I13)*
      IF($P13=1,
         ($G13-$F13+1)/$Q13,
         IF(DR$4=1,
            ($M13-$F13+1)/$Q13,
            IF(DR$4=$P13,
               ($G13-$O13+1)/$R13,
               1
      ))),0)
))))</f>
        <v>-</v>
      </c>
      <c r="DT13" s="56" t="str" cm="1">
        <f t="array" ref="DT13">IF($H13&lt;&gt;リスト!$AA$3,"-",$E13-SUMPRODUCT(IFERROR($Y13:$DS13*1,0), --(MOD(COLUMN($Y13:$DS13)-COLUMN($Y13),2)=0)))</f>
        <v>-</v>
      </c>
      <c r="DU13" s="56" t="str">
        <f>IF($H13&lt;&gt;リスト!$AA$4,"-",
    IF($H$3=リスト!$AE$3,$E13-ROUNDUP($E13*I13*$W13/12,0),
    IF($H$3=リスト!$AE$4,$E13-ROUNDDOWN($E13*I13*$W13/12,0),
    IF($H$3=リスト!$AE$5,$E13-ROUND($E13*I13*$W13/12,0),
    "-"))))</f>
        <v>-</v>
      </c>
    </row>
    <row r="14" spans="2:125">
      <c r="B14" s="54">
        <v>9</v>
      </c>
      <c r="C14" s="55" t="str">
        <f>IF('財産処分報告(災害)用'!$C14="","-",'財産処分報告(災害)用'!$C14)</f>
        <v>-</v>
      </c>
      <c r="D14" s="55" t="str">
        <f>'財産処分報告(災害)用'!$E14</f>
        <v>-</v>
      </c>
      <c r="E14" s="56" t="str">
        <f>IF('財産処分報告(災害)用'!$J14="","-",'財産処分報告(災害)用'!$J14)</f>
        <v>-</v>
      </c>
      <c r="F14" s="101" t="str">
        <f>IF('財産処分報告(災害)用'!$K14="","-",'財産処分報告(災害)用'!$K14)</f>
        <v>-</v>
      </c>
      <c r="G14" s="101" t="str">
        <f>IF('財産処分報告(災害)用'!$L14="","-",'財産処分報告(災害)用'!$L14)</f>
        <v>-</v>
      </c>
      <c r="H14" s="55" t="str">
        <f>IF('財産処分報告(災害)用'!$M14="","-",'財産処分報告(災害)用'!$M14)</f>
        <v>-</v>
      </c>
      <c r="I14" s="55" t="str">
        <f>IF(OR($D14="-",$H14="-"),"-",INDEX(リスト!$AG$2:$AI$101,MATCH($D14,リスト!$AG$2:$AG$101,0),MATCH($H14,リスト!$AG$2:$AI$2,0)))</f>
        <v>-</v>
      </c>
      <c r="J14" s="55" t="str">
        <f>IF(OR($D14="-",$H14="-"),"-",IF($H14=リスト!$AA$4,"-",INDEX(リスト!$AG$2:$AK$101,MATCH($D14,リスト!$AG$2:$AG$101,0),4)))</f>
        <v>-</v>
      </c>
      <c r="K14" s="55" t="str">
        <f>IF(OR($D14="-",$H14="-"),"-",IF($H14=リスト!$AA$4,"-",INDEX(リスト!$AG$2:$AK$101,MATCH($D14,リスト!$AG$2:$AG$101,0),5)))</f>
        <v>-</v>
      </c>
      <c r="L14" s="55" t="str">
        <f t="shared" si="0"/>
        <v>-</v>
      </c>
      <c r="M14" s="101" t="str">
        <f t="shared" si="1"/>
        <v>-</v>
      </c>
      <c r="N14" s="101" t="str">
        <f t="shared" si="2"/>
        <v>-</v>
      </c>
      <c r="O14" s="101" t="str">
        <f t="shared" si="3"/>
        <v>-</v>
      </c>
      <c r="P14" s="102" t="str">
        <f t="shared" si="4"/>
        <v>-</v>
      </c>
      <c r="Q14" s="115" t="str">
        <f t="shared" si="5"/>
        <v>-</v>
      </c>
      <c r="R14" s="116" t="str">
        <f t="shared" si="6"/>
        <v>-</v>
      </c>
      <c r="S14" s="102" t="str">
        <f t="shared" si="7"/>
        <v>-</v>
      </c>
      <c r="T14" s="102" t="str">
        <f t="shared" si="8"/>
        <v>-</v>
      </c>
      <c r="U14" s="102" t="str">
        <f t="shared" si="9"/>
        <v>-</v>
      </c>
      <c r="V14" s="102" t="str">
        <f t="shared" si="10"/>
        <v>-</v>
      </c>
      <c r="W14" s="55" t="str">
        <f t="shared" si="11"/>
        <v>-</v>
      </c>
      <c r="X14" s="56" t="str">
        <f ca="1">IF($H14=リスト!$AA$4,"-",
   IF($C14="-","-",
     IF(X$4&gt;$P14,"-",
       IF(X$4=1,$E14,OFFSET(X14,0,-2)-OFFSET(X14,0,-1)
))))</f>
        <v>-</v>
      </c>
      <c r="Y14" s="57" t="str">
        <f>IF($H14=リスト!$AA$4,"-",
 IF($C14="-","-",
  IF(X$4&gt;$P14,"-",
   CHOOSE(MATCH($H$3,リスト!$AE$3:$AE$5,0),
    ROUNDUP(
      X14*IF(X14*$I14&lt;=$L14,$J14,$I14)*
      IF($P14=1,
         $S14/12,
         IF(X$4=1,
            $T14/12,
            IF(X$4=$P14,
               $U14/12,
               1
      ))),0),
    ROUNDDOWN(
      X14*IF(X14*$I14&lt;=$L14,$J14,$I14)*
      IF($P14=1,
         $S14/12,
         IF(X$4=1,
            $T14/12,
            IF(X$4=$P14,
               $U14/12,
               1
      ))),0),
    ROUND(
      X14*IF(X14*$I14&lt;=$L14,$J14,$I14)*
      IF($P14=1,
         $S14/12,
         IF(X$4=1,
            $T14/12,
            IF(X$4=$P14,
               $U14/12,
               1
      ))),0)
))))</f>
        <v>-</v>
      </c>
      <c r="Z14" s="56" t="str">
        <f ca="1">IF($H14=リスト!$AA$4,"-",
   IF($C14="-","-",
     IF(Z$4&gt;$P14,"-",
       IF(Z$4=1,$E14,OFFSET(Z14,0,-2)-OFFSET(Z14,0,-1)
))))</f>
        <v>-</v>
      </c>
      <c r="AA14" s="57" t="str">
        <f>IF($H14=リスト!$AA$4,"-",
 IF($C14="-","-",
  IF(Z$4&gt;$P14,"-",
   CHOOSE(MATCH($H$3,リスト!$AE$3:$AE$5,0),
    ROUNDUP(
      Z14*IF(Z14*$I14&lt;=$L14,$J14,$I14)*
      IF($P14=1,
         $S14/12,
         IF(Z$4=1,
            $T14/12,
            IF(Z$4=$P14,
               $U14/12,
               1
      ))),0),
    ROUNDDOWN(
      Z14*IF(Z14*$I14&lt;=$L14,$J14,$I14)*
      IF($P14=1,
         $S14/12,
         IF(Z$4=1,
            $T14/12,
            IF(Z$4=$P14,
               $U14/12,
               1
      ))),0),
    ROUND(
      Z14*IF(Z14*$I14&lt;=$L14,$J14,$I14)*
      IF($P14=1,
         $S14/12,
         IF(Z$4=1,
            $T14/12,
            IF(Z$4=$P14,
               $U14/12,
               1
      ))),0)
))))</f>
        <v>-</v>
      </c>
      <c r="AB14" s="56" t="str">
        <f ca="1">IF($H14=リスト!$AA$4,"-",
   IF($C14="-","-",
     IF(AB$4&gt;$P14,"-",
       IF(AB$4=1,$E14,OFFSET(AB14,0,-2)-OFFSET(AB14,0,-1)
))))</f>
        <v>-</v>
      </c>
      <c r="AC14" s="57" t="str">
        <f>IF($H14=リスト!$AA$4,"-",
 IF($C14="-","-",
  IF(AB$4&gt;$P14,"-",
   CHOOSE(MATCH($H$3,リスト!$AE$3:$AE$5,0),
    ROUNDUP(
      AB14*IF(AB14*$I14&lt;=$L14,$J14,$I14)*
      IF($P14=1,
         $S14/12,
         IF(AB$4=1,
            $T14/12,
            IF(AB$4=$P14,
               $U14/12,
               1
      ))),0),
    ROUNDDOWN(
      AB14*IF(AB14*$I14&lt;=$L14,$J14,$I14)*
      IF($P14=1,
         $S14/12,
         IF(AB$4=1,
            $T14/12,
            IF(AB$4=$P14,
               $U14/12,
               1
      ))),0),
    ROUND(
      AB14*IF(AB14*$I14&lt;=$L14,$J14,$I14)*
      IF($P14=1,
         $S14/12,
         IF(AB$4=1,
            $T14/12,
            IF(AB$4=$P14,
               $U14/12,
               1
      ))),0)
))))</f>
        <v>-</v>
      </c>
      <c r="AD14" s="56" t="str">
        <f ca="1">IF($H14=リスト!$AA$4,"-",
   IF($C14="-","-",
     IF(AD$4&gt;$P14,"-",
       IF(AD$4=1,$E14,OFFSET(AD14,0,-2)-OFFSET(AD14,0,-1)
))))</f>
        <v>-</v>
      </c>
      <c r="AE14" s="57" t="str">
        <f>IF($H14=リスト!$AA$4,"-",
 IF($C14="-","-",
  IF(AD$4&gt;$P14,"-",
   CHOOSE(MATCH($H$3,リスト!$AE$3:$AE$5,0),
    ROUNDUP(
      AD14*IF(AD14*$I14&lt;=$L14,$J14,$I14)*
      IF($P14=1,
         $S14/12,
         IF(AD$4=1,
            $T14/12,
            IF(AD$4=$P14,
               $U14/12,
               1
      ))),0),
    ROUNDDOWN(
      AD14*IF(AD14*$I14&lt;=$L14,$J14,$I14)*
      IF($P14=1,
         $S14/12,
         IF(AD$4=1,
            $T14/12,
            IF(AD$4=$P14,
               $U14/12,
               1
      ))),0),
    ROUND(
      AD14*IF(AD14*$I14&lt;=$L14,$J14,$I14)*
      IF($P14=1,
         $S14/12,
         IF(AD$4=1,
            $T14/12,
            IF(AD$4=$P14,
               $U14/12,
               1
      ))),0)
))))</f>
        <v>-</v>
      </c>
      <c r="AF14" s="56" t="str">
        <f ca="1">IF($H14=リスト!$AA$4,"-",
   IF($C14="-","-",
     IF(AF$4&gt;$P14,"-",
       IF(AF$4=1,$E14,OFFSET(AF14,0,-2)-OFFSET(AF14,0,-1)
))))</f>
        <v>-</v>
      </c>
      <c r="AG14" s="57" t="str">
        <f>IF($H14=リスト!$AA$4,"-",
 IF($C14="-","-",
  IF(AF$4&gt;$P14,"-",
   CHOOSE(MATCH($H$3,リスト!$AE$3:$AE$5,0),
    ROUNDUP(
      AF14*IF(AF14*$I14&lt;=$L14,$J14,$I14)*
      IF($P14=1,
         $S14/12,
         IF(AF$4=1,
            $T14/12,
            IF(AF$4=$P14,
               $U14/12,
               1
      ))),0),
    ROUNDDOWN(
      AF14*IF(AF14*$I14&lt;=$L14,$J14,$I14)*
      IF($P14=1,
         $S14/12,
         IF(AF$4=1,
            $T14/12,
            IF(AF$4=$P14,
               $U14/12,
               1
      ))),0),
    ROUND(
      AF14*IF(AF14*$I14&lt;=$L14,$J14,$I14)*
      IF($P14=1,
         $S14/12,
         IF(AF$4=1,
            $T14/12,
            IF(AF$4=$P14,
               $U14/12,
               1
      ))),0)
))))</f>
        <v>-</v>
      </c>
      <c r="AH14" s="56" t="str">
        <f ca="1">IF($H14=リスト!$AA$4,"-",
   IF($C14="-","-",
     IF(AH$4&gt;$P14,"-",
       IF(AH$4=1,$E14,OFFSET(AH14,0,-2)-OFFSET(AH14,0,-1)
))))</f>
        <v>-</v>
      </c>
      <c r="AI14" s="57" t="str">
        <f>IF($H14=リスト!$AA$4,"-",
 IF($C14="-","-",
  IF(AH$4&gt;$P14,"-",
   CHOOSE(MATCH($H$3,リスト!$AE$3:$AE$5,0),
    ROUNDUP(
      AH14*IF(AH14*$I14&lt;=$L14,$J14,$I14)*
      IF($P14=1,
         $S14/12,
         IF(AH$4=1,
            $T14/12,
            IF(AH$4=$P14,
               $U14/12,
               1
      ))),0),
    ROUNDDOWN(
      AH14*IF(AH14*$I14&lt;=$L14,$J14,$I14)*
      IF($P14=1,
         $S14/12,
         IF(AH$4=1,
            $T14/12,
            IF(AH$4=$P14,
               $U14/12,
               1
      ))),0),
    ROUND(
      AH14*IF(AH14*$I14&lt;=$L14,$J14,$I14)*
      IF($P14=1,
         $S14/12,
         IF(AH$4=1,
            $T14/12,
            IF(AH$4=$P14,
               $U14/12,
               1
      ))),0)
))))</f>
        <v>-</v>
      </c>
      <c r="AJ14" s="56" t="str">
        <f ca="1">IF($H14=リスト!$AA$4,"-",
   IF($C14="-","-",
     IF(AJ$4&gt;$P14,"-",
       IF(AJ$4=1,$E14,OFFSET(AJ14,0,-2)-OFFSET(AJ14,0,-1)
))))</f>
        <v>-</v>
      </c>
      <c r="AK14" s="57" t="str">
        <f>IF($H14=リスト!$AA$4,"-",
 IF($C14="-","-",
  IF(AJ$4&gt;$P14,"-",
   CHOOSE(MATCH($H$3,リスト!$AE$3:$AE$5,0),
    ROUNDUP(
      AJ14*IF(AJ14*$I14&lt;=$L14,$J14,$I14)*
      IF($P14=1,
         $S14/12,
         IF(AJ$4=1,
            $T14/12,
            IF(AJ$4=$P14,
               $U14/12,
               1
      ))),0),
    ROUNDDOWN(
      AJ14*IF(AJ14*$I14&lt;=$L14,$J14,$I14)*
      IF($P14=1,
         $S14/12,
         IF(AJ$4=1,
            $T14/12,
            IF(AJ$4=$P14,
               $U14/12,
               1
      ))),0),
    ROUND(
      AJ14*IF(AJ14*$I14&lt;=$L14,$J14,$I14)*
      IF($P14=1,
         $S14/12,
         IF(AJ$4=1,
            $T14/12,
            IF(AJ$4=$P14,
               $U14/12,
               1
      ))),0)
))))</f>
        <v>-</v>
      </c>
      <c r="AL14" s="56" t="str">
        <f ca="1">IF($H14=リスト!$AA$4,"-",
   IF($C14="-","-",
     IF(AL$4&gt;$P14,"-",
       IF(AL$4=1,$E14,OFFSET(AL14,0,-2)-OFFSET(AL14,0,-1)
))))</f>
        <v>-</v>
      </c>
      <c r="AM14" s="57" t="str">
        <f>IF($H14=リスト!$AA$4,"-",
 IF($C14="-","-",
  IF(AL$4&gt;$P14,"-",
   CHOOSE(MATCH($H$3,リスト!$AE$3:$AE$5,0),
    ROUNDUP(
      AL14*IF(AL14*$I14&lt;=$L14,$J14,$I14)*
      IF($P14=1,
         $S14/12,
         IF(AL$4=1,
            $T14/12,
            IF(AL$4=$P14,
               $U14/12,
               1
      ))),0),
    ROUNDDOWN(
      AL14*IF(AL14*$I14&lt;=$L14,$J14,$I14)*
      IF($P14=1,
         $S14/12,
         IF(AL$4=1,
            $T14/12,
            IF(AL$4=$P14,
               $U14/12,
               1
      ))),0),
    ROUND(
      AL14*IF(AL14*$I14&lt;=$L14,$J14,$I14)*
      IF($P14=1,
         $S14/12,
         IF(AL$4=1,
            $T14/12,
            IF(AL$4=$P14,
               $U14/12,
               1
      ))),0)
))))</f>
        <v>-</v>
      </c>
      <c r="AN14" s="56" t="str">
        <f ca="1">IF($H14=リスト!$AA$4,"-",
   IF($C14="-","-",
     IF(AN$4&gt;$P14,"-",
       IF(AN$4=1,$E14,OFFSET(AN14,0,-2)-OFFSET(AN14,0,-1)
))))</f>
        <v>-</v>
      </c>
      <c r="AO14" s="57" t="str">
        <f>IF($H14=リスト!$AA$4,"-",
 IF($C14="-","-",
  IF(AN$4&gt;$P14,"-",
   CHOOSE(MATCH($H$3,リスト!$AE$3:$AE$5,0),
    ROUNDUP(
      AN14*IF(AN14*$I14&lt;=$L14,$J14,$I14)*
      IF($P14=1,
         $S14/12,
         IF(AN$4=1,
            $T14/12,
            IF(AN$4=$P14,
               $U14/12,
               1
      ))),0),
    ROUNDDOWN(
      AN14*IF(AN14*$I14&lt;=$L14,$J14,$I14)*
      IF($P14=1,
         $S14/12,
         IF(AN$4=1,
            $T14/12,
            IF(AN$4=$P14,
               $U14/12,
               1
      ))),0),
    ROUND(
      AN14*IF(AN14*$I14&lt;=$L14,$J14,$I14)*
      IF($P14=1,
         $S14/12,
         IF(AN$4=1,
            $T14/12,
            IF(AN$4=$P14,
               $U14/12,
               1
      ))),0)
))))</f>
        <v>-</v>
      </c>
      <c r="AP14" s="56" t="str">
        <f ca="1">IF($H14=リスト!$AA$4,"-",
   IF($C14="-","-",
     IF(AP$4&gt;$P14,"-",
       IF(AP$4=1,$E14,OFFSET(AP14,0,-2)-OFFSET(AP14,0,-1)
))))</f>
        <v>-</v>
      </c>
      <c r="AQ14" s="57" t="str">
        <f>IF($H14=リスト!$AA$4,"-",
 IF($C14="-","-",
  IF(AP$4&gt;$P14,"-",
   CHOOSE(MATCH($H$3,リスト!$AE$3:$AE$5,0),
    ROUNDUP(
      AP14*IF(AP14*$I14&lt;=$L14,$J14,$I14)*
      IF($P14=1,
         $S14/12,
         IF(AP$4=1,
            $T14/12,
            IF(AP$4=$P14,
               $U14/12,
               1
      ))),0),
    ROUNDDOWN(
      AP14*IF(AP14*$I14&lt;=$L14,$J14,$I14)*
      IF($P14=1,
         $S14/12,
         IF(AP$4=1,
            $T14/12,
            IF(AP$4=$P14,
               $U14/12,
               1
      ))),0),
    ROUND(
      AP14*IF(AP14*$I14&lt;=$L14,$J14,$I14)*
      IF($P14=1,
         $S14/12,
         IF(AP$4=1,
            $T14/12,
            IF(AP$4=$P14,
               $U14/12,
               1
      ))),0)
))))</f>
        <v>-</v>
      </c>
      <c r="AR14" s="56" t="str">
        <f ca="1">IF($H14=リスト!$AA$4,"-",
   IF($C14="-","-",
     IF(AR$4&gt;$P14,"-",
       IF(AR$4=1,$E14,OFFSET(AR14,0,-2)-OFFSET(AR14,0,-1)
))))</f>
        <v>-</v>
      </c>
      <c r="AS14" s="57" t="str">
        <f>IF($H14=リスト!$AA$4,"-",
 IF($C14="-","-",
  IF(AR$4&gt;$P14,"-",
   CHOOSE(MATCH($H$3,リスト!$AE$3:$AE$5,0),
    ROUNDUP(
      AR14*IF(AR14*$I14&lt;=$L14,$J14,$I14)*
      IF($P14=1,
         $S14/12,
         IF(AR$4=1,
            $T14/12,
            IF(AR$4=$P14,
               $U14/12,
               1
      ))),0),
    ROUNDDOWN(
      AR14*IF(AR14*$I14&lt;=$L14,$J14,$I14)*
      IF($P14=1,
         $S14/12,
         IF(AR$4=1,
            $T14/12,
            IF(AR$4=$P14,
               $U14/12,
               1
      ))),0),
    ROUND(
      AR14*IF(AR14*$I14&lt;=$L14,$J14,$I14)*
      IF($P14=1,
         $S14/12,
         IF(AR$4=1,
            $T14/12,
            IF(AR$4=$P14,
               $U14/12,
               1
      ))),0)
))))</f>
        <v>-</v>
      </c>
      <c r="AT14" s="56" t="str">
        <f ca="1">IF($H14=リスト!$AA$4,"-",
   IF($C14="-","-",
     IF(AT$4&gt;$P14,"-",
       IF(AT$4=1,$E14,OFFSET(AT14,0,-2)-OFFSET(AT14,0,-1)
))))</f>
        <v>-</v>
      </c>
      <c r="AU14" s="57" t="str">
        <f>IF($H14=リスト!$AA$4,"-",
 IF($C14="-","-",
  IF(AT$4&gt;$P14,"-",
   CHOOSE(MATCH($H$3,リスト!$AE$3:$AE$5,0),
    ROUNDUP(
      AT14*IF(AT14*$I14&lt;=$L14,$J14,$I14)*
      IF($P14=1,
         $S14/12,
         IF(AT$4=1,
            $T14/12,
            IF(AT$4=$P14,
               $U14/12,
               1
      ))),0),
    ROUNDDOWN(
      AT14*IF(AT14*$I14&lt;=$L14,$J14,$I14)*
      IF($P14=1,
         $S14/12,
         IF(AT$4=1,
            $T14/12,
            IF(AT$4=$P14,
               $U14/12,
               1
      ))),0),
    ROUND(
      AT14*IF(AT14*$I14&lt;=$L14,$J14,$I14)*
      IF($P14=1,
         $S14/12,
         IF(AT$4=1,
            $T14/12,
            IF(AT$4=$P14,
               $U14/12,
               1
      ))),0)
))))</f>
        <v>-</v>
      </c>
      <c r="AV14" s="56" t="str">
        <f ca="1">IF($H14=リスト!$AA$4,"-",
   IF($C14="-","-",
     IF(AV$4&gt;$P14,"-",
       IF(AV$4=1,$E14,OFFSET(AV14,0,-2)-OFFSET(AV14,0,-1)
))))</f>
        <v>-</v>
      </c>
      <c r="AW14" s="57" t="str">
        <f>IF($H14=リスト!$AA$4,"-",
 IF($C14="-","-",
  IF(AV$4&gt;$P14,"-",
   CHOOSE(MATCH($H$3,リスト!$AE$3:$AE$5,0),
    ROUNDUP(
      AV14*IF(AV14*$I14&lt;=$L14,$J14,$I14)*
      IF($P14=1,
         $S14/12,
         IF(AV$4=1,
            $T14/12,
            IF(AV$4=$P14,
               $U14/12,
               1
      ))),0),
    ROUNDDOWN(
      AV14*IF(AV14*$I14&lt;=$L14,$J14,$I14)*
      IF($P14=1,
         $S14/12,
         IF(AV$4=1,
            $T14/12,
            IF(AV$4=$P14,
               $U14/12,
               1
      ))),0),
    ROUND(
      AV14*IF(AV14*$I14&lt;=$L14,$J14,$I14)*
      IF($P14=1,
         $S14/12,
         IF(AV$4=1,
            $T14/12,
            IF(AV$4=$P14,
               $U14/12,
               1
      ))),0)
))))</f>
        <v>-</v>
      </c>
      <c r="AX14" s="56" t="str">
        <f ca="1">IF($H14=リスト!$AA$4,"-",
   IF($C14="-","-",
     IF(AX$4&gt;$P14,"-",
       IF(AX$4=1,$E14,OFFSET(AX14,0,-2)-OFFSET(AX14,0,-1)
))))</f>
        <v>-</v>
      </c>
      <c r="AY14" s="57" t="str">
        <f>IF($H14=リスト!$AA$4,"-",
 IF($C14="-","-",
  IF(AX$4&gt;$P14,"-",
   CHOOSE(MATCH($H$3,リスト!$AE$3:$AE$5,0),
    ROUNDUP(
      AX14*IF(AX14*$I14&lt;=$L14,$J14,$I14)*
      IF($P14=1,
         $S14/12,
         IF(AX$4=1,
            $T14/12,
            IF(AX$4=$P14,
               $U14/12,
               1
      ))),0),
    ROUNDDOWN(
      AX14*IF(AX14*$I14&lt;=$L14,$J14,$I14)*
      IF($P14=1,
         $S14/12,
         IF(AX$4=1,
            $T14/12,
            IF(AX$4=$P14,
               $U14/12,
               1
      ))),0),
    ROUND(
      AX14*IF(AX14*$I14&lt;=$L14,$J14,$I14)*
      IF($P14=1,
         $S14/12,
         IF(AX$4=1,
            $T14/12,
            IF(AX$4=$P14,
               $U14/12,
               1
      ))),0)
))))</f>
        <v>-</v>
      </c>
      <c r="AZ14" s="56" t="str">
        <f ca="1">IF($H14=リスト!$AA$4,"-",
   IF($C14="-","-",
     IF(AZ$4&gt;$P14,"-",
       IF(AZ$4=1,$E14,OFFSET(AZ14,0,-2)-OFFSET(AZ14,0,-1)
))))</f>
        <v>-</v>
      </c>
      <c r="BA14" s="57" t="str">
        <f>IF($H14=リスト!$AA$4,"-",
 IF($C14="-","-",
  IF(AZ$4&gt;$P14,"-",
   CHOOSE(MATCH($H$3,リスト!$AE$3:$AE$5,0),
    ROUNDUP(
      AZ14*IF(AZ14*$I14&lt;=$L14,$J14,$I14)*
      IF($P14=1,
         $S14/12,
         IF(AZ$4=1,
            $T14/12,
            IF(AZ$4=$P14,
               $U14/12,
               1
      ))),0),
    ROUNDDOWN(
      AZ14*IF(AZ14*$I14&lt;=$L14,$J14,$I14)*
      IF($P14=1,
         $S14/12,
         IF(AZ$4=1,
            $T14/12,
            IF(AZ$4=$P14,
               $U14/12,
               1
      ))),0),
    ROUND(
      AZ14*IF(AZ14*$I14&lt;=$L14,$J14,$I14)*
      IF($P14=1,
         $S14/12,
         IF(AZ$4=1,
            $T14/12,
            IF(AZ$4=$P14,
               $U14/12,
               1
      ))),0)
))))</f>
        <v>-</v>
      </c>
      <c r="BB14" s="56" t="str">
        <f ca="1">IF($H14=リスト!$AA$4,"-",
   IF($C14="-","-",
     IF(BB$4&gt;$P14,"-",
       IF(BB$4=1,$E14,OFFSET(BB14,0,-2)-OFFSET(BB14,0,-1)
))))</f>
        <v>-</v>
      </c>
      <c r="BC14" s="57" t="str">
        <f>IF($H14=リスト!$AA$4,"-",
 IF($C14="-","-",
  IF(BB$4&gt;$P14,"-",
   CHOOSE(MATCH($H$3,リスト!$AE$3:$AE$5,0),
    ROUNDUP(
      BB14*IF(BB14*$I14&lt;=$L14,$J14,$I14)*
      IF($P14=1,
         $S14/12,
         IF(BB$4=1,
            $T14/12,
            IF(BB$4=$P14,
               $U14/12,
               1
      ))),0),
    ROUNDDOWN(
      BB14*IF(BB14*$I14&lt;=$L14,$J14,$I14)*
      IF($P14=1,
         $S14/12,
         IF(BB$4=1,
            $T14/12,
            IF(BB$4=$P14,
               $U14/12,
               1
      ))),0),
    ROUND(
      BB14*IF(BB14*$I14&lt;=$L14,$J14,$I14)*
      IF($P14=1,
         $S14/12,
         IF(BB$4=1,
            $T14/12,
            IF(BB$4=$P14,
               $U14/12,
               1
      ))),0)
))))</f>
        <v>-</v>
      </c>
      <c r="BD14" s="56" t="str">
        <f ca="1">IF($H14=リスト!$AA$4,"-",
   IF($C14="-","-",
     IF(BD$4&gt;$P14,"-",
       IF(BD$4=1,$E14,OFFSET(BD14,0,-2)-OFFSET(BD14,0,-1)
))))</f>
        <v>-</v>
      </c>
      <c r="BE14" s="57" t="str">
        <f>IF($H14=リスト!$AA$4,"-",
 IF($C14="-","-",
  IF(BD$4&gt;$P14,"-",
   CHOOSE(MATCH($H$3,リスト!$AE$3:$AE$5,0),
    ROUNDUP(
      BD14*IF(BD14*$I14&lt;=$L14,$J14,$I14)*
      IF($P14=1,
         $S14/12,
         IF(BD$4=1,
            $T14/12,
            IF(BD$4=$P14,
               $U14/12,
               1
      ))),0),
    ROUNDDOWN(
      BD14*IF(BD14*$I14&lt;=$L14,$J14,$I14)*
      IF($P14=1,
         $S14/12,
         IF(BD$4=1,
            $T14/12,
            IF(BD$4=$P14,
               $U14/12,
               1
      ))),0),
    ROUND(
      BD14*IF(BD14*$I14&lt;=$L14,$J14,$I14)*
      IF($P14=1,
         $S14/12,
         IF(BD$4=1,
            $T14/12,
            IF(BD$4=$P14,
               $U14/12,
               1
      ))),0)
))))</f>
        <v>-</v>
      </c>
      <c r="BF14" s="56" t="str">
        <f ca="1">IF($H14=リスト!$AA$4,"-",
   IF($C14="-","-",
     IF(BF$4&gt;$P14,"-",
       IF(BF$4=1,$E14,OFFSET(BF14,0,-2)-OFFSET(BF14,0,-1)
))))</f>
        <v>-</v>
      </c>
      <c r="BG14" s="57" t="str">
        <f>IF($H14=リスト!$AA$4,"-",
 IF($C14="-","-",
  IF(BF$4&gt;$P14,"-",
   CHOOSE(MATCH($H$3,リスト!$AE$3:$AE$5,0),
    ROUNDUP(
      BF14*IF(BF14*$I14&lt;=$L14,$J14,$I14)*
      IF($P14=1,
         $S14/12,
         IF(BF$4=1,
            $T14/12,
            IF(BF$4=$P14,
               $U14/12,
               1
      ))),0),
    ROUNDDOWN(
      BF14*IF(BF14*$I14&lt;=$L14,$J14,$I14)*
      IF($P14=1,
         $S14/12,
         IF(BF$4=1,
            $T14/12,
            IF(BF$4=$P14,
               $U14/12,
               1
      ))),0),
    ROUND(
      BF14*IF(BF14*$I14&lt;=$L14,$J14,$I14)*
      IF($P14=1,
         $S14/12,
         IF(BF$4=1,
            $T14/12,
            IF(BF$4=$P14,
               $U14/12,
               1
      ))),0)
))))</f>
        <v>-</v>
      </c>
      <c r="BH14" s="56" t="str">
        <f ca="1">IF($H14=リスト!$AA$4,"-",
   IF($C14="-","-",
     IF(BH$4&gt;$P14,"-",
       IF(BH$4=1,$E14,OFFSET(BH14,0,-2)-OFFSET(BH14,0,-1)
))))</f>
        <v>-</v>
      </c>
      <c r="BI14" s="57" t="str">
        <f>IF($H14=リスト!$AA$4,"-",
 IF($C14="-","-",
  IF(BH$4&gt;$P14,"-",
   CHOOSE(MATCH($H$3,リスト!$AE$3:$AE$5,0),
    ROUNDUP(
      BH14*IF(BH14*$I14&lt;=$L14,$J14,$I14)*
      IF($P14=1,
         $S14/12,
         IF(BH$4=1,
            $T14/12,
            IF(BH$4=$P14,
               $U14/12,
               1
      ))),0),
    ROUNDDOWN(
      BH14*IF(BH14*$I14&lt;=$L14,$J14,$I14)*
      IF($P14=1,
         $S14/12,
         IF(BH$4=1,
            $T14/12,
            IF(BH$4=$P14,
               $U14/12,
               1
      ))),0),
    ROUND(
      BH14*IF(BH14*$I14&lt;=$L14,$J14,$I14)*
      IF($P14=1,
         $S14/12,
         IF(BH$4=1,
            $T14/12,
            IF(BH$4=$P14,
               $U14/12,
               1
      ))),0)
))))</f>
        <v>-</v>
      </c>
      <c r="BJ14" s="56" t="str">
        <f ca="1">IF($H14=リスト!$AA$4,"-",
   IF($C14="-","-",
     IF(BJ$4&gt;$P14,"-",
       IF(BJ$4=1,$E14,OFFSET(BJ14,0,-2)-OFFSET(BJ14,0,-1)
))))</f>
        <v>-</v>
      </c>
      <c r="BK14" s="57" t="str">
        <f>IF($H14=リスト!$AA$4,"-",
 IF($C14="-","-",
  IF(BJ$4&gt;$P14,"-",
   CHOOSE(MATCH($H$3,リスト!$AE$3:$AE$5,0),
    ROUNDUP(
      BJ14*IF(BJ14*$I14&lt;=$L14,$J14,$I14)*
      IF($P14=1,
         $S14/12,
         IF(BJ$4=1,
            $T14/12,
            IF(BJ$4=$P14,
               $U14/12,
               1
      ))),0),
    ROUNDDOWN(
      BJ14*IF(BJ14*$I14&lt;=$L14,$J14,$I14)*
      IF($P14=1,
         $S14/12,
         IF(BJ$4=1,
            $T14/12,
            IF(BJ$4=$P14,
               $U14/12,
               1
      ))),0),
    ROUND(
      BJ14*IF(BJ14*$I14&lt;=$L14,$J14,$I14)*
      IF($P14=1,
         $S14/12,
         IF(BJ$4=1,
            $T14/12,
            IF(BJ$4=$P14,
               $U14/12,
               1
      ))),0)
))))</f>
        <v>-</v>
      </c>
      <c r="BL14" s="56" t="str">
        <f ca="1">IF($H14=リスト!$AA$4,"-",
   IF($C14="-","-",
     IF(BL$4&gt;$P14,"-",
       IF(BL$4=1,$E14,OFFSET(BL14,0,-2)-OFFSET(BL14,0,-1)
))))</f>
        <v>-</v>
      </c>
      <c r="BM14" s="57" t="str">
        <f>IF($H14=リスト!$AA$4,"-",
 IF($C14="-","-",
  IF(BL$4&gt;$P14,"-",
   CHOOSE(MATCH($H$3,リスト!$AE$3:$AE$5,0),
    ROUNDUP(
      BL14*IF(BL14*$I14&lt;=$L14,$J14,$I14)*
      IF($P14=1,
         $S14/12,
         IF(BL$4=1,
            $T14/12,
            IF(BL$4=$P14,
               $U14/12,
               1
      ))),0),
    ROUNDDOWN(
      BL14*IF(BL14*$I14&lt;=$L14,$J14,$I14)*
      IF($P14=1,
         $S14/12,
         IF(BL$4=1,
            $T14/12,
            IF(BL$4=$P14,
               $U14/12,
               1
      ))),0),
    ROUND(
      BL14*IF(BL14*$I14&lt;=$L14,$J14,$I14)*
      IF($P14=1,
         $S14/12,
         IF(BL$4=1,
            $T14/12,
            IF(BL$4=$P14,
               $U14/12,
               1
      ))),0)
))))</f>
        <v>-</v>
      </c>
      <c r="BN14" s="56" t="str">
        <f ca="1">IF($H14=リスト!$AA$4,"-",
   IF($C14="-","-",
     IF(BN$4&gt;$P14,"-",
       IF(BN$4=1,$E14,OFFSET(BN14,0,-2)-OFFSET(BN14,0,-1)
))))</f>
        <v>-</v>
      </c>
      <c r="BO14" s="57" t="str">
        <f>IF($H14=リスト!$AA$4,"-",
 IF($C14="-","-",
  IF(BN$4&gt;$P14,"-",
   CHOOSE(MATCH($H$3,リスト!$AE$3:$AE$5,0),
    ROUNDUP(
      BN14*IF(BN14*$I14&lt;=$L14,$J14,$I14)*
      IF($P14=1,
         $S14/12,
         IF(BN$4=1,
            $T14/12,
            IF(BN$4=$P14,
               $U14/12,
               1
      ))),0),
    ROUNDDOWN(
      BN14*IF(BN14*$I14&lt;=$L14,$J14,$I14)*
      IF($P14=1,
         $S14/12,
         IF(BN$4=1,
            $T14/12,
            IF(BN$4=$P14,
               $U14/12,
               1
      ))),0),
    ROUND(
      BN14*IF(BN14*$I14&lt;=$L14,$J14,$I14)*
      IF($P14=1,
         $S14/12,
         IF(BN$4=1,
            $T14/12,
            IF(BN$4=$P14,
               $U14/12,
               1
      ))),0)
))))</f>
        <v>-</v>
      </c>
      <c r="BP14" s="56" t="str">
        <f ca="1">IF($H14=リスト!$AA$4,"-",
   IF($C14="-","-",
     IF(BP$4&gt;$P14,"-",
       IF(BP$4=1,$E14,OFFSET(BP14,0,-2)-OFFSET(BP14,0,-1)
))))</f>
        <v>-</v>
      </c>
      <c r="BQ14" s="57" t="str">
        <f>IF($H14=リスト!$AA$4,"-",
 IF($C14="-","-",
  IF(BP$4&gt;$P14,"-",
   CHOOSE(MATCH($H$3,リスト!$AE$3:$AE$5,0),
    ROUNDUP(
      BP14*IF(BP14*$I14&lt;=$L14,$J14,$I14)*
      IF($P14=1,
         $S14/12,
         IF(BP$4=1,
            $T14/12,
            IF(BP$4=$P14,
               $U14/12,
               1
      ))),0),
    ROUNDDOWN(
      BP14*IF(BP14*$I14&lt;=$L14,$J14,$I14)*
      IF($P14=1,
         $S14/12,
         IF(BP$4=1,
            $T14/12,
            IF(BP$4=$P14,
               $U14/12,
               1
      ))),0),
    ROUND(
      BP14*IF(BP14*$I14&lt;=$L14,$J14,$I14)*
      IF($P14=1,
         $S14/12,
         IF(BP$4=1,
            $T14/12,
            IF(BP$4=$P14,
               $U14/12,
               1
      ))),0)
))))</f>
        <v>-</v>
      </c>
      <c r="BR14" s="56" t="str">
        <f ca="1">IF($H14=リスト!$AA$4,"-",
   IF($C14="-","-",
     IF(BR$4&gt;$P14,"-",
       IF(BR$4=1,$E14,OFFSET(BR14,0,-2)-OFFSET(BR14,0,-1)
))))</f>
        <v>-</v>
      </c>
      <c r="BS14" s="57" t="str">
        <f>IF($H14=リスト!$AA$4,"-",
 IF($C14="-","-",
  IF(BR$4&gt;$P14,"-",
   CHOOSE(MATCH($H$3,リスト!$AE$3:$AE$5,0),
    ROUNDUP(
      BR14*IF(BR14*$I14&lt;=$L14,$J14,$I14)*
      IF($P14=1,
         $S14/12,
         IF(BR$4=1,
            $T14/12,
            IF(BR$4=$P14,
               $U14/12,
               1
      ))),0),
    ROUNDDOWN(
      BR14*IF(BR14*$I14&lt;=$L14,$J14,$I14)*
      IF($P14=1,
         $S14/12,
         IF(BR$4=1,
            $T14/12,
            IF(BR$4=$P14,
               $U14/12,
               1
      ))),0),
    ROUND(
      BR14*IF(BR14*$I14&lt;=$L14,$J14,$I14)*
      IF($P14=1,
         $S14/12,
         IF(BR$4=1,
            $T14/12,
            IF(BR$4=$P14,
               $U14/12,
               1
      ))),0)
))))</f>
        <v>-</v>
      </c>
      <c r="BT14" s="56" t="str">
        <f ca="1">IF($H14=リスト!$AA$4,"-",
   IF($C14="-","-",
     IF(BT$4&gt;$P14,"-",
       IF(BT$4=1,$E14,OFFSET(BT14,0,-2)-OFFSET(BT14,0,-1)
))))</f>
        <v>-</v>
      </c>
      <c r="BU14" s="57" t="str">
        <f>IF($H14=リスト!$AA$4,"-",
 IF($C14="-","-",
  IF(BT$4&gt;$P14,"-",
   CHOOSE(MATCH($H$3,リスト!$AE$3:$AE$5,0),
    ROUNDUP(
      BT14*IF(BT14*$I14&lt;=$L14,$J14,$I14)*
      IF($P14=1,
         $S14/12,
         IF(BT$4=1,
            $T14/12,
            IF(BT$4=$P14,
               $U14/12,
               1
      ))),0),
    ROUNDDOWN(
      BT14*IF(BT14*$I14&lt;=$L14,$J14,$I14)*
      IF($P14=1,
         $S14/12,
         IF(BT$4=1,
            $T14/12,
            IF(BT$4=$P14,
               $U14/12,
               1
      ))),0),
    ROUND(
      BT14*IF(BT14*$I14&lt;=$L14,$J14,$I14)*
      IF($P14=1,
         $S14/12,
         IF(BT$4=1,
            $T14/12,
            IF(BT$4=$P14,
               $U14/12,
               1
      ))),0)
))))</f>
        <v>-</v>
      </c>
      <c r="BV14" s="56" t="str">
        <f ca="1">IF($H14=リスト!$AA$4,"-",
   IF($C14="-","-",
     IF(BV$4&gt;$P14,"-",
       IF(BV$4=1,$E14,OFFSET(BV14,0,-2)-OFFSET(BV14,0,-1)
))))</f>
        <v>-</v>
      </c>
      <c r="BW14" s="57" t="str">
        <f>IF($H14=リスト!$AA$4,"-",
 IF($C14="-","-",
  IF(BV$4&gt;$P14,"-",
   CHOOSE(MATCH($H$3,リスト!$AE$3:$AE$5,0),
    ROUNDUP(
      BV14*IF(BV14*$I14&lt;=$L14,$J14,$I14)*
      IF($P14=1,
         $S14/12,
         IF(BV$4=1,
            $T14/12,
            IF(BV$4=$P14,
               $U14/12,
               1
      ))),0),
    ROUNDDOWN(
      BV14*IF(BV14*$I14&lt;=$L14,$J14,$I14)*
      IF($P14=1,
         $S14/12,
         IF(BV$4=1,
            $T14/12,
            IF(BV$4=$P14,
               $U14/12,
               1
      ))),0),
    ROUND(
      BV14*IF(BV14*$I14&lt;=$L14,$J14,$I14)*
      IF($P14=1,
         $S14/12,
         IF(BV$4=1,
            $T14/12,
            IF(BV$4=$P14,
               $U14/12,
               1
      ))),0)
))))</f>
        <v>-</v>
      </c>
      <c r="BX14" s="56" t="str">
        <f ca="1">IF($H14=リスト!$AA$4,"-",
   IF($C14="-","-",
     IF(BX$4&gt;$P14,"-",
       IF(BX$4=1,$E14,OFFSET(BX14,0,-2)-OFFSET(BX14,0,-1)
))))</f>
        <v>-</v>
      </c>
      <c r="BY14" s="57" t="str">
        <f>IF($H14=リスト!$AA$4,"-",
 IF($C14="-","-",
  IF(BX$4&gt;$P14,"-",
   CHOOSE(MATCH($H$3,リスト!$AE$3:$AE$5,0),
    ROUNDUP(
      BX14*IF(BX14*$I14&lt;=$L14,$J14,$I14)*
      IF($P14=1,
         $S14/12,
         IF(BX$4=1,
            $T14/12,
            IF(BX$4=$P14,
               $U14/12,
               1
      ))),0),
    ROUNDDOWN(
      BX14*IF(BX14*$I14&lt;=$L14,$J14,$I14)*
      IF($P14=1,
         $S14/12,
         IF(BX$4=1,
            $T14/12,
            IF(BX$4=$P14,
               $U14/12,
               1
      ))),0),
    ROUND(
      BX14*IF(BX14*$I14&lt;=$L14,$J14,$I14)*
      IF($P14=1,
         $S14/12,
         IF(BX$4=1,
            $T14/12,
            IF(BX$4=$P14,
               $U14/12,
               1
      ))),0)
))))</f>
        <v>-</v>
      </c>
      <c r="BZ14" s="56" t="str">
        <f ca="1">IF($H14=リスト!$AA$4,"-",
   IF($C14="-","-",
     IF(BZ$4&gt;$P14,"-",
       IF(BZ$4=1,$E14,OFFSET(BZ14,0,-2)-OFFSET(BZ14,0,-1)
))))</f>
        <v>-</v>
      </c>
      <c r="CA14" s="57" t="str">
        <f>IF($H14=リスト!$AA$4,"-",
 IF($C14="-","-",
  IF(BZ$4&gt;$P14,"-",
   CHOOSE(MATCH($H$3,リスト!$AE$3:$AE$5,0),
    ROUNDUP(
      BZ14*IF(BZ14*$I14&lt;=$L14,$J14,$I14)*
      IF($P14=1,
         $S14/12,
         IF(BZ$4=1,
            $T14/12,
            IF(BZ$4=$P14,
               $U14/12,
               1
      ))),0),
    ROUNDDOWN(
      BZ14*IF(BZ14*$I14&lt;=$L14,$J14,$I14)*
      IF($P14=1,
         $S14/12,
         IF(BZ$4=1,
            $T14/12,
            IF(BZ$4=$P14,
               $U14/12,
               1
      ))),0),
    ROUND(
      BZ14*IF(BZ14*$I14&lt;=$L14,$J14,$I14)*
      IF($P14=1,
         $S14/12,
         IF(BZ$4=1,
            $T14/12,
            IF(BZ$4=$P14,
               $U14/12,
               1
      ))),0)
))))</f>
        <v>-</v>
      </c>
      <c r="CB14" s="56" t="str">
        <f ca="1">IF($H14=リスト!$AA$4,"-",
   IF($C14="-","-",
     IF(CB$4&gt;$P14,"-",
       IF(CB$4=1,$E14,OFFSET(CB14,0,-2)-OFFSET(CB14,0,-1)
))))</f>
        <v>-</v>
      </c>
      <c r="CC14" s="57" t="str">
        <f>IF($H14=リスト!$AA$4,"-",
 IF($C14="-","-",
  IF(CB$4&gt;$P14,"-",
   CHOOSE(MATCH($H$3,リスト!$AE$3:$AE$5,0),
    ROUNDUP(
      CB14*IF(CB14*$I14&lt;=$L14,$J14,$I14)*
      IF($P14=1,
         $S14/12,
         IF(CB$4=1,
            $T14/12,
            IF(CB$4=$P14,
               $U14/12,
               1
      ))),0),
    ROUNDDOWN(
      CB14*IF(CB14*$I14&lt;=$L14,$J14,$I14)*
      IF($P14=1,
         $S14/12,
         IF(CB$4=1,
            $T14/12,
            IF(CB$4=$P14,
               $U14/12,
               1
      ))),0),
    ROUND(
      CB14*IF(CB14*$I14&lt;=$L14,$J14,$I14)*
      IF($P14=1,
         $S14/12,
         IF(CB$4=1,
            $T14/12,
            IF(CB$4=$P14,
               $U14/12,
               1
      ))),0)
))))</f>
        <v>-</v>
      </c>
      <c r="CD14" s="56" t="str">
        <f ca="1">IF($H14=リスト!$AA$4,"-",
   IF($C14="-","-",
     IF(CD$4&gt;$P14,"-",
       IF(CD$4=1,$E14,OFFSET(CD14,0,-2)-OFFSET(CD14,0,-1)
))))</f>
        <v>-</v>
      </c>
      <c r="CE14" s="57" t="str">
        <f>IF($H14=リスト!$AA$4,"-",
 IF($C14="-","-",
  IF(CD$4&gt;$P14,"-",
   CHOOSE(MATCH($H$3,リスト!$AE$3:$AE$5,0),
    ROUNDUP(
      CD14*IF(CD14*$I14&lt;=$L14,$J14,$I14)*
      IF($P14=1,
         $S14/12,
         IF(CD$4=1,
            $T14/12,
            IF(CD$4=$P14,
               $U14/12,
               1
      ))),0),
    ROUNDDOWN(
      CD14*IF(CD14*$I14&lt;=$L14,$J14,$I14)*
      IF($P14=1,
         $S14/12,
         IF(CD$4=1,
            $T14/12,
            IF(CD$4=$P14,
               $U14/12,
               1
      ))),0),
    ROUND(
      CD14*IF(CD14*$I14&lt;=$L14,$J14,$I14)*
      IF($P14=1,
         $S14/12,
         IF(CD$4=1,
            $T14/12,
            IF(CD$4=$P14,
               $U14/12,
               1
      ))),0)
))))</f>
        <v>-</v>
      </c>
      <c r="CF14" s="56" t="str">
        <f ca="1">IF($H14=リスト!$AA$4,"-",
   IF($C14="-","-",
     IF(CF$4&gt;$P14,"-",
       IF(CF$4=1,$E14,OFFSET(CF14,0,-2)-OFFSET(CF14,0,-1)
))))</f>
        <v>-</v>
      </c>
      <c r="CG14" s="57" t="str">
        <f>IF($H14=リスト!$AA$4,"-",
 IF($C14="-","-",
  IF(CF$4&gt;$P14,"-",
   CHOOSE(MATCH($H$3,リスト!$AE$3:$AE$5,0),
    ROUNDUP(
      CF14*IF(CF14*$I14&lt;=$L14,$J14,$I14)*
      IF($P14=1,
         $S14/12,
         IF(CF$4=1,
            $T14/12,
            IF(CF$4=$P14,
               $U14/12,
               1
      ))),0),
    ROUNDDOWN(
      CF14*IF(CF14*$I14&lt;=$L14,$J14,$I14)*
      IF($P14=1,
         $S14/12,
         IF(CF$4=1,
            $T14/12,
            IF(CF$4=$P14,
               $U14/12,
               1
      ))),0),
    ROUND(
      CF14*IF(CF14*$I14&lt;=$L14,$J14,$I14)*
      IF($P14=1,
         $S14/12,
         IF(CF$4=1,
            $T14/12,
            IF(CF$4=$P14,
               $U14/12,
               1
      ))),0)
))))</f>
        <v>-</v>
      </c>
      <c r="CH14" s="56" t="str">
        <f ca="1">IF($H14=リスト!$AA$4,"-",
   IF($C14="-","-",
     IF(CH$4&gt;$P14,"-",
       IF(CH$4=1,$E14,OFFSET(CH14,0,-2)-OFFSET(CH14,0,-1)
))))</f>
        <v>-</v>
      </c>
      <c r="CI14" s="57" t="str">
        <f>IF($H14=リスト!$AA$4,"-",
 IF($C14="-","-",
  IF(CH$4&gt;$P14,"-",
   CHOOSE(MATCH($H$3,リスト!$AE$3:$AE$5,0),
    ROUNDUP(
      CH14*IF(CH14*$I14&lt;=$L14,$J14,$I14)*
      IF($P14=1,
         $S14/12,
         IF(CH$4=1,
            $T14/12,
            IF(CH$4=$P14,
               $U14/12,
               1
      ))),0),
    ROUNDDOWN(
      CH14*IF(CH14*$I14&lt;=$L14,$J14,$I14)*
      IF($P14=1,
         $S14/12,
         IF(CH$4=1,
            $T14/12,
            IF(CH$4=$P14,
               $U14/12,
               1
      ))),0),
    ROUND(
      CH14*IF(CH14*$I14&lt;=$L14,$J14,$I14)*
      IF($P14=1,
         $S14/12,
         IF(CH$4=1,
            $T14/12,
            IF(CH$4=$P14,
               $U14/12,
               1
      ))),0)
))))</f>
        <v>-</v>
      </c>
      <c r="CJ14" s="56" t="str">
        <f ca="1">IF($H14=リスト!$AA$4,"-",
   IF($C14="-","-",
     IF(CJ$4&gt;$P14,"-",
       IF(CJ$4=1,$E14,OFFSET(CJ14,0,-2)-OFFSET(CJ14,0,-1)
))))</f>
        <v>-</v>
      </c>
      <c r="CK14" s="57" t="str">
        <f>IF($H14=リスト!$AA$4,"-",
 IF($C14="-","-",
  IF(CJ$4&gt;$P14,"-",
   CHOOSE(MATCH($H$3,リスト!$AE$3:$AE$5,0),
    ROUNDUP(
      CJ14*IF(CJ14*$I14&lt;=$L14,$J14,$I14)*
      IF($P14=1,
         $S14/12,
         IF(CJ$4=1,
            $T14/12,
            IF(CJ$4=$P14,
               $U14/12,
               1
      ))),0),
    ROUNDDOWN(
      CJ14*IF(CJ14*$I14&lt;=$L14,$J14,$I14)*
      IF($P14=1,
         $S14/12,
         IF(CJ$4=1,
            $T14/12,
            IF(CJ$4=$P14,
               $U14/12,
               1
      ))),0),
    ROUND(
      CJ14*IF(CJ14*$I14&lt;=$L14,$J14,$I14)*
      IF($P14=1,
         $S14/12,
         IF(CJ$4=1,
            $T14/12,
            IF(CJ$4=$P14,
               $U14/12,
               1
      ))),0)
))))</f>
        <v>-</v>
      </c>
      <c r="CL14" s="56" t="str">
        <f ca="1">IF($H14=リスト!$AA$4,"-",
   IF($C14="-","-",
     IF(CL$4&gt;$P14,"-",
       IF(CL$4=1,$E14,OFFSET(CL14,0,-2)-OFFSET(CL14,0,-1)
))))</f>
        <v>-</v>
      </c>
      <c r="CM14" s="57" t="str">
        <f>IF($H14=リスト!$AA$4,"-",
 IF($C14="-","-",
  IF(CL$4&gt;$P14,"-",
   CHOOSE(MATCH($H$3,リスト!$AE$3:$AE$5,0),
    ROUNDUP(
      CL14*IF(CL14*$I14&lt;=$L14,$J14,$I14)*
      IF($P14=1,
         $S14/12,
         IF(CL$4=1,
            $T14/12,
            IF(CL$4=$P14,
               $U14/12,
               1
      ))),0),
    ROUNDDOWN(
      CL14*IF(CL14*$I14&lt;=$L14,$J14,$I14)*
      IF($P14=1,
         $S14/12,
         IF(CL$4=1,
            $T14/12,
            IF(CL$4=$P14,
               $U14/12,
               1
      ))),0),
    ROUND(
      CL14*IF(CL14*$I14&lt;=$L14,$J14,$I14)*
      IF($P14=1,
         $S14/12,
         IF(CL$4=1,
            $T14/12,
            IF(CL$4=$P14,
               $U14/12,
               1
      ))),0)
))))</f>
        <v>-</v>
      </c>
      <c r="CN14" s="56" t="str">
        <f ca="1">IF($H14=リスト!$AA$4,"-",
   IF($C14="-","-",
     IF(CN$4&gt;$P14,"-",
       IF(CN$4=1,$E14,OFFSET(CN14,0,-2)-OFFSET(CN14,0,-1)
))))</f>
        <v>-</v>
      </c>
      <c r="CO14" s="57" t="str">
        <f>IF($H14=リスト!$AA$4,"-",
 IF($C14="-","-",
  IF(CN$4&gt;$P14,"-",
   CHOOSE(MATCH($H$3,リスト!$AE$3:$AE$5,0),
    ROUNDUP(
      CN14*IF(CN14*$I14&lt;=$L14,$J14,$I14)*
      IF($P14=1,
         $S14/12,
         IF(CN$4=1,
            $T14/12,
            IF(CN$4=$P14,
               $U14/12,
               1
      ))),0),
    ROUNDDOWN(
      CN14*IF(CN14*$I14&lt;=$L14,$J14,$I14)*
      IF($P14=1,
         $S14/12,
         IF(CN$4=1,
            $T14/12,
            IF(CN$4=$P14,
               $U14/12,
               1
      ))),0),
    ROUND(
      CN14*IF(CN14*$I14&lt;=$L14,$J14,$I14)*
      IF($P14=1,
         $S14/12,
         IF(CN$4=1,
            $T14/12,
            IF(CN$4=$P14,
               $U14/12,
               1
      ))),0)
))))</f>
        <v>-</v>
      </c>
      <c r="CP14" s="56" t="str">
        <f ca="1">IF($H14=リスト!$AA$4,"-",
   IF($C14="-","-",
     IF(CP$4&gt;$P14,"-",
       IF(CP$4=1,$E14,OFFSET(CP14,0,-2)-OFFSET(CP14,0,-1)
))))</f>
        <v>-</v>
      </c>
      <c r="CQ14" s="57" t="str">
        <f>IF($H14=リスト!$AA$4,"-",
 IF($C14="-","-",
  IF(CP$4&gt;$P14,"-",
   CHOOSE(MATCH($H$3,リスト!$AE$3:$AE$5,0),
    ROUNDUP(
      CP14*IF(CP14*$I14&lt;=$L14,$J14,$I14)*
      IF($P14=1,
         $S14/12,
         IF(CP$4=1,
            $T14/12,
            IF(CP$4=$P14,
               $U14/12,
               1
      ))),0),
    ROUNDDOWN(
      CP14*IF(CP14*$I14&lt;=$L14,$J14,$I14)*
      IF($P14=1,
         $S14/12,
         IF(CP$4=1,
            $T14/12,
            IF(CP$4=$P14,
               $U14/12,
               1
      ))),0),
    ROUND(
      CP14*IF(CP14*$I14&lt;=$L14,$J14,$I14)*
      IF($P14=1,
         $S14/12,
         IF(CP$4=1,
            $T14/12,
            IF(CP$4=$P14,
               $U14/12,
               1
      ))),0)
))))</f>
        <v>-</v>
      </c>
      <c r="CR14" s="56" t="str">
        <f ca="1">IF($H14=リスト!$AA$4,"-",
   IF($C14="-","-",
     IF(CR$4&gt;$P14,"-",
       IF(CR$4=1,$E14,OFFSET(CR14,0,-2)-OFFSET(CR14,0,-1)
))))</f>
        <v>-</v>
      </c>
      <c r="CS14" s="57" t="str">
        <f>IF($H14=リスト!$AA$4,"-",
 IF($C14="-","-",
  IF(CR$4&gt;$P14,"-",
   CHOOSE(MATCH($H$3,リスト!$AE$3:$AE$5,0),
    ROUNDUP(
      CR14*IF(CR14*$I14&lt;=$L14,$J14,$I14)*
      IF($P14=1,
         $S14/12,
         IF(CR$4=1,
            $T14/12,
            IF(CR$4=$P14,
               $U14/12,
               1
      ))),0),
    ROUNDDOWN(
      CR14*IF(CR14*$I14&lt;=$L14,$J14,$I14)*
      IF($P14=1,
         $S14/12,
         IF(CR$4=1,
            $T14/12,
            IF(CR$4=$P14,
               $U14/12,
               1
      ))),0),
    ROUND(
      CR14*IF(CR14*$I14&lt;=$L14,$J14,$I14)*
      IF($P14=1,
         $S14/12,
         IF(CR$4=1,
            $T14/12,
            IF(CR$4=$P14,
               $U14/12,
               1
      ))),0)
))))</f>
        <v>-</v>
      </c>
      <c r="CT14" s="56" t="str">
        <f ca="1">IF($H14=リスト!$AA$4,"-",
   IF($C14="-","-",
     IF(CT$4&gt;$P14,"-",
       IF(CT$4=1,$E14,OFFSET(CT14,0,-2)-OFFSET(CT14,0,-1)
))))</f>
        <v>-</v>
      </c>
      <c r="CU14" s="57" t="str">
        <f>IF($H14=リスト!$AA$4,"-",
 IF($C14="-","-",
  IF(CT$4&gt;$P14,"-",
   CHOOSE(MATCH($H$3,リスト!$AE$3:$AE$5,0),
    ROUNDUP(
      CT14*IF(CT14*$I14&lt;=$L14,$J14,$I14)*
      IF($P14=1,
         $S14/12,
         IF(CT$4=1,
            $T14/12,
            IF(CT$4=$P14,
               $U14/12,
               1
      ))),0),
    ROUNDDOWN(
      CT14*IF(CT14*$I14&lt;=$L14,$J14,$I14)*
      IF($P14=1,
         $S14/12,
         IF(CT$4=1,
            $T14/12,
            IF(CT$4=$P14,
               $U14/12,
               1
      ))),0),
    ROUND(
      CT14*IF(CT14*$I14&lt;=$L14,$J14,$I14)*
      IF($P14=1,
         $S14/12,
         IF(CT$4=1,
            $T14/12,
            IF(CT$4=$P14,
               $U14/12,
               1
      ))),0)
))))</f>
        <v>-</v>
      </c>
      <c r="CV14" s="56" t="str">
        <f ca="1">IF($H14=リスト!$AA$4,"-",
   IF($C14="-","-",
     IF(CV$4&gt;$P14,"-",
       IF(CV$4=1,$E14,OFFSET(CV14,0,-2)-OFFSET(CV14,0,-1)
))))</f>
        <v>-</v>
      </c>
      <c r="CW14" s="57" t="str">
        <f>IF($H14=リスト!$AA$4,"-",
 IF($C14="-","-",
  IF(CV$4&gt;$P14,"-",
   CHOOSE(MATCH($H$3,リスト!$AE$3:$AE$5,0),
    ROUNDUP(
      CV14*IF(CV14*$I14&lt;=$L14,$J14,$I14)*
      IF($P14=1,
         $S14/12,
         IF(CV$4=1,
            $T14/12,
            IF(CV$4=$P14,
               $U14/12,
               1
      ))),0),
    ROUNDDOWN(
      CV14*IF(CV14*$I14&lt;=$L14,$J14,$I14)*
      IF($P14=1,
         $S14/12,
         IF(CV$4=1,
            $T14/12,
            IF(CV$4=$P14,
               $U14/12,
               1
      ))),0),
    ROUND(
      CV14*IF(CV14*$I14&lt;=$L14,$J14,$I14)*
      IF($P14=1,
         $S14/12,
         IF(CV$4=1,
            $T14/12,
            IF(CV$4=$P14,
               $U14/12,
               1
      ))),0)
))))</f>
        <v>-</v>
      </c>
      <c r="CX14" s="56" t="str">
        <f ca="1">IF($H14=リスト!$AA$4,"-",
   IF($C14="-","-",
     IF(CX$4&gt;$P14,"-",
       IF(CX$4=1,$E14,OFFSET(CX14,0,-2)-OFFSET(CX14,0,-1)
))))</f>
        <v>-</v>
      </c>
      <c r="CY14" s="57" t="str">
        <f>IF($H14=リスト!$AA$4,"-",
 IF($C14="-","-",
  IF(CX$4&gt;$P14,"-",
   CHOOSE(MATCH($H$3,リスト!$AE$3:$AE$5,0),
    ROUNDUP(
      CX14*IF(CX14*$I14&lt;=$L14,$J14,$I14)*
      IF($P14=1,
         $S14/12,
         IF(CX$4=1,
            $T14/12,
            IF(CX$4=$P14,
               $U14/12,
               1
      ))),0),
    ROUNDDOWN(
      CX14*IF(CX14*$I14&lt;=$L14,$J14,$I14)*
      IF($P14=1,
         $S14/12,
         IF(CX$4=1,
            $T14/12,
            IF(CX$4=$P14,
               $U14/12,
               1
      ))),0),
    ROUND(
      CX14*IF(CX14*$I14&lt;=$L14,$J14,$I14)*
      IF($P14=1,
         $S14/12,
         IF(CX$4=1,
            $T14/12,
            IF(CX$4=$P14,
               $U14/12,
               1
      ))),0)
))))</f>
        <v>-</v>
      </c>
      <c r="CZ14" s="56" t="str">
        <f ca="1">IF($H14=リスト!$AA$4,"-",
   IF($C14="-","-",
     IF(CZ$4&gt;$P14,"-",
       IF(CZ$4=1,$E14,OFFSET(CZ14,0,-2)-OFFSET(CZ14,0,-1)
))))</f>
        <v>-</v>
      </c>
      <c r="DA14" s="57" t="str">
        <f>IF($H14=リスト!$AA$4,"-",
 IF($C14="-","-",
  IF(CZ$4&gt;$P14,"-",
   CHOOSE(MATCH($H$3,リスト!$AE$3:$AE$5,0),
    ROUNDUP(
      CZ14*IF(CZ14*$I14&lt;=$L14,$J14,$I14)*
      IF($P14=1,
         $S14/12,
         IF(CZ$4=1,
            $T14/12,
            IF(CZ$4=$P14,
               $U14/12,
               1
      ))),0),
    ROUNDDOWN(
      CZ14*IF(CZ14*$I14&lt;=$L14,$J14,$I14)*
      IF($P14=1,
         $S14/12,
         IF(CZ$4=1,
            $T14/12,
            IF(CZ$4=$P14,
               $U14/12,
               1
      ))),0),
    ROUND(
      CZ14*IF(CZ14*$I14&lt;=$L14,$J14,$I14)*
      IF($P14=1,
         $S14/12,
         IF(CZ$4=1,
            $T14/12,
            IF(CZ$4=$P14,
               $U14/12,
               1
      ))),0)
))))</f>
        <v>-</v>
      </c>
      <c r="DB14" s="56" t="str">
        <f ca="1">IF($H14=リスト!$AA$4,"-",
   IF($C14="-","-",
     IF(DB$4&gt;$P14,"-",
       IF(DB$4=1,$E14,OFFSET(DB14,0,-2)-OFFSET(DB14,0,-1)
))))</f>
        <v>-</v>
      </c>
      <c r="DC14" s="57" t="str">
        <f>IF($H14=リスト!$AA$4,"-",
 IF($C14="-","-",
  IF(DB$4&gt;$P14,"-",
   CHOOSE(MATCH($H$3,リスト!$AE$3:$AE$5,0),
    ROUNDUP(
      DB14*IF(DB14*$I14&lt;=$L14,$J14,$I14)*
      IF($P14=1,
         $S14/12,
         IF(DB$4=1,
            $T14/12,
            IF(DB$4=$P14,
               $U14/12,
               1
      ))),0),
    ROUNDDOWN(
      DB14*IF(DB14*$I14&lt;=$L14,$J14,$I14)*
      IF($P14=1,
         $S14/12,
         IF(DB$4=1,
            $T14/12,
            IF(DB$4=$P14,
               $U14/12,
               1
      ))),0),
    ROUND(
      DB14*IF(DB14*$I14&lt;=$L14,$J14,$I14)*
      IF($P14=1,
         $S14/12,
         IF(DB$4=1,
            $T14/12,
            IF(DB$4=$P14,
               $U14/12,
               1
      ))),0)
))))</f>
        <v>-</v>
      </c>
      <c r="DD14" s="56" t="str">
        <f ca="1">IF($H14=リスト!$AA$4,"-",
   IF($C14="-","-",
     IF(DD$4&gt;$P14,"-",
       IF(DD$4=1,$E14,OFFSET(DD14,0,-2)-OFFSET(DD14,0,-1)
))))</f>
        <v>-</v>
      </c>
      <c r="DE14" s="57" t="str">
        <f>IF($H14=リスト!$AA$4,"-",
 IF($C14="-","-",
  IF(DD$4&gt;$P14,"-",
   CHOOSE(MATCH($H$3,リスト!$AE$3:$AE$5,0),
    ROUNDUP(
      DD14*IF(DD14*$I14&lt;=$L14,$J14,$I14)*
      IF($P14=1,
         $S14/12,
         IF(DD$4=1,
            $T14/12,
            IF(DD$4=$P14,
               $U14/12,
               1
      ))),0),
    ROUNDDOWN(
      DD14*IF(DD14*$I14&lt;=$L14,$J14,$I14)*
      IF($P14=1,
         $S14/12,
         IF(DD$4=1,
            $T14/12,
            IF(DD$4=$P14,
               $U14/12,
               1
      ))),0),
    ROUND(
      DD14*IF(DD14*$I14&lt;=$L14,$J14,$I14)*
      IF($P14=1,
         $S14/12,
         IF(DD$4=1,
            $T14/12,
            IF(DD$4=$P14,
               $U14/12,
               1
      ))),0)
))))</f>
        <v>-</v>
      </c>
      <c r="DF14" s="56" t="str">
        <f ca="1">IF($H14=リスト!$AA$4,"-",
   IF($C14="-","-",
     IF(DF$4&gt;$P14,"-",
       IF(DF$4=1,$E14,OFFSET(DF14,0,-2)-OFFSET(DF14,0,-1)
))))</f>
        <v>-</v>
      </c>
      <c r="DG14" s="57" t="str">
        <f>IF($H14=リスト!$AA$4,"-",
 IF($C14="-","-",
  IF(DF$4&gt;$P14,"-",
   CHOOSE(MATCH($H$3,リスト!$AE$3:$AE$5,0),
    ROUNDUP(
      DF14*IF(DF14*$I14&lt;=$L14,$J14,$I14)*
      IF($P14=1,
         $S14/12,
         IF(DF$4=1,
            $T14/12,
            IF(DF$4=$P14,
               $U14/12,
               1
      ))),0),
    ROUNDDOWN(
      DF14*IF(DF14*$I14&lt;=$L14,$J14,$I14)*
      IF($P14=1,
         $S14/12,
         IF(DF$4=1,
            $T14/12,
            IF(DF$4=$P14,
               $U14/12,
               1
      ))),0),
    ROUND(
      DF14*IF(DF14*$I14&lt;=$L14,$J14,$I14)*
      IF($P14=1,
         $S14/12,
         IF(DF$4=1,
            $T14/12,
            IF(DF$4=$P14,
               $U14/12,
               1
      ))),0)
))))</f>
        <v>-</v>
      </c>
      <c r="DH14" s="56" t="str">
        <f ca="1">IF($H14=リスト!$AA$4,"-",
   IF($C14="-","-",
     IF(DH$4&gt;$P14,"-",
       IF(DH$4=1,$E14,OFFSET(DH14,0,-2)-OFFSET(DH14,0,-1)
))))</f>
        <v>-</v>
      </c>
      <c r="DI14" s="57" t="str">
        <f>IF($H14=リスト!$AA$4,"-",
 IF($C14="-","-",
  IF(DH$4&gt;$P14,"-",
   CHOOSE(MATCH($H$3,リスト!$AE$3:$AE$5,0),
    ROUNDUP(
      DH14*IF(DH14*$I14&lt;=$L14,$J14,$I14)*
      IF($P14=1,
         $S14/12,
         IF(DH$4=1,
            $T14/12,
            IF(DH$4=$P14,
               $U14/12,
               1
      ))),0),
    ROUNDDOWN(
      DH14*IF(DH14*$I14&lt;=$L14,$J14,$I14)*
      IF($P14=1,
         $S14/12,
         IF(DH$4=1,
            $T14/12,
            IF(DH$4=$P14,
               $U14/12,
               1
      ))),0),
    ROUND(
      DH14*IF(DH14*$I14&lt;=$L14,$J14,$I14)*
      IF($P14=1,
         $S14/12,
         IF(DH$4=1,
            $T14/12,
            IF(DH$4=$P14,
               $U14/12,
               1
      ))),0)
))))</f>
        <v>-</v>
      </c>
      <c r="DJ14" s="56" t="str">
        <f ca="1">IF($H14=リスト!$AA$4,"-",
   IF($C14="-","-",
     IF(DJ$4&gt;$P14,"-",
       IF(DJ$4=1,$E14,OFFSET(DJ14,0,-2)-OFFSET(DJ14,0,-1)
))))</f>
        <v>-</v>
      </c>
      <c r="DK14" s="57" t="str">
        <f>IF($H14=リスト!$AA$4,"-",
 IF($C14="-","-",
  IF(DJ$4&gt;$P14,"-",
   CHOOSE(MATCH($H$3,リスト!$AE$3:$AE$5,0),
    ROUNDUP(
      DJ14*IF(DJ14*$I14&lt;=$L14,$J14,$I14)*
      IF($P14=1,
         $S14/12,
         IF(DJ$4=1,
            $T14/12,
            IF(DJ$4=$P14,
               $U14/12,
               1
      ))),0),
    ROUNDDOWN(
      DJ14*IF(DJ14*$I14&lt;=$L14,$J14,$I14)*
      IF($P14=1,
         $S14/12,
         IF(DJ$4=1,
            $T14/12,
            IF(DJ$4=$P14,
               $U14/12,
               1
      ))),0),
    ROUND(
      DJ14*IF(DJ14*$I14&lt;=$L14,$J14,$I14)*
      IF($P14=1,
         $S14/12,
         IF(DJ$4=1,
            $T14/12,
            IF(DJ$4=$P14,
               $U14/12,
               1
      ))),0)
))))</f>
        <v>-</v>
      </c>
      <c r="DL14" s="56" t="str">
        <f ca="1">IF($H14=リスト!$AA$4,"-",
   IF($C14="-","-",
     IF(DL$4&gt;$P14,"-",
       IF(DL$4=1,$E14,OFFSET(DL14,0,-2)-OFFSET(DL14,0,-1)
))))</f>
        <v>-</v>
      </c>
      <c r="DM14" s="57" t="str">
        <f>IF($H14=リスト!$AA$4,"-",
 IF($C14="-","-",
  IF(DL$4&gt;$P14,"-",
   CHOOSE(MATCH($H$3,リスト!$AE$3:$AE$5,0),
    ROUNDUP(
      DL14*IF(DL14*$I14&lt;=$L14,$J14,$I14)*
      IF($P14=1,
         $S14/12,
         IF(DL$4=1,
            $T14/12,
            IF(DL$4=$P14,
               $U14/12,
               1
      ))),0),
    ROUNDDOWN(
      DL14*IF(DL14*$I14&lt;=$L14,$J14,$I14)*
      IF($P14=1,
         $S14/12,
         IF(DL$4=1,
            $T14/12,
            IF(DL$4=$P14,
               $U14/12,
               1
      ))),0),
    ROUND(
      DL14*IF(DL14*$I14&lt;=$L14,$J14,$I14)*
      IF($P14=1,
         $S14/12,
         IF(DL$4=1,
            $T14/12,
            IF(DL$4=$P14,
               $U14/12,
               1
      ))),0)
))))</f>
        <v>-</v>
      </c>
      <c r="DN14" s="56" t="str">
        <f ca="1">IF($H14=リスト!$AA$4,"-",
   IF($C14="-","-",
     IF(DN$4&gt;$P14,"-",
       IF(DN$4=1,$E14,OFFSET(DN14,0,-2)-OFFSET(DN14,0,-1)
))))</f>
        <v>-</v>
      </c>
      <c r="DO14" s="57" t="str">
        <f>IF($H14=リスト!$AA$4,"-",
 IF($C14="-","-",
  IF(DN$4&gt;$P14,"-",
   CHOOSE(MATCH($H$3,リスト!$AE$3:$AE$5,0),
    ROUNDUP(
      DN14*IF(DN14*$I14&lt;=$L14,$J14,$I14)*
      IF($P14=1,
         $S14/12,
         IF(DN$4=1,
            $T14/12,
            IF(DN$4=$P14,
               $U14/12,
               1
      ))),0),
    ROUNDDOWN(
      DN14*IF(DN14*$I14&lt;=$L14,$J14,$I14)*
      IF($P14=1,
         $S14/12,
         IF(DN$4=1,
            $T14/12,
            IF(DN$4=$P14,
               $U14/12,
               1
      ))),0),
    ROUND(
      DN14*IF(DN14*$I14&lt;=$L14,$J14,$I14)*
      IF($P14=1,
         $S14/12,
         IF(DN$4=1,
            $T14/12,
            IF(DN$4=$P14,
               $U14/12,
               1
      ))),0)
))))</f>
        <v>-</v>
      </c>
      <c r="DP14" s="56" t="str">
        <f ca="1">IF($H14=リスト!$AA$4,"-",
   IF($C14="-","-",
     IF(DP$4&gt;$P14,"-",
       IF(DP$4=1,$E14,OFFSET(DP14,0,-2)-OFFSET(DP14,0,-1)
))))</f>
        <v>-</v>
      </c>
      <c r="DQ14" s="57" t="str">
        <f>IF($H14=リスト!$AA$4,"-",
 IF($C14="-","-",
  IF(DP$4&gt;$P14,"-",
   CHOOSE(MATCH($H$3,リスト!$AE$3:$AE$5,0),
    ROUNDUP(
      DP14*IF(DP14*$I14&lt;=$L14,$J14,$I14)*
      IF($P14=1,
         $S14/12,
         IF(DP$4=1,
            $T14/12,
            IF(DP$4=$P14,
               $U14/12,
               1
      ))),0),
    ROUNDDOWN(
      DP14*IF(DP14*$I14&lt;=$L14,$J14,$I14)*
      IF($P14=1,
         $S14/12,
         IF(DP$4=1,
            $T14/12,
            IF(DP$4=$P14,
               $U14/12,
               1
      ))),0),
    ROUND(
      DP14*IF(DP14*$I14&lt;=$L14,$J14,$I14)*
      IF($P14=1,
         $S14/12,
         IF(DP$4=1,
            $T14/12,
            IF(DP$4=$P14,
               $U14/12,
               1
      ))),0)
))))</f>
        <v>-</v>
      </c>
      <c r="DR14" s="56" t="str">
        <f ca="1">IF($H14=リスト!$AA$4,"-",
   IF($C14="-","-",
     IF(DR$4&gt;$P14,"-",
       IF(DR$4=1,$E14,OFFSET(DR14,0,-2)-OFFSET(DR14,0,-1)
))))</f>
        <v>-</v>
      </c>
      <c r="DS14" s="57" t="str">
        <f>IF($H14=リスト!$AA$4,"-",
 IF($C14="-","-",
  IF(DR$4&gt;$P14,"-",
   CHOOSE(MATCH($H$3,リスト!$AE$3:$AE$5,0),
    ROUNDUP(
      DR14*IF(DR14*$I14&lt;=$L14,$J14,$I14)*
      IF($P14=1,
         ($G14-$F14+1)/$Q14,
         IF(DR$4=1,
            ($M14-$F14+1)/$Q14,
            IF(DR$4=$P14,
               ($G14-$O14+1)/$R14,
               1
      ))),0),
    ROUNDDOWN(
      DR14*IF(DR14*$I14&lt;=$L14,$J14,$I14)*
      IF($P14=1,
         ($G14-$F14+1)/$Q14,
         IF(DR$4=1,
            ($M14-$F14+1)/$Q14,
            IF(DR$4=$P14,
               ($G14-$O14+1)/$R14,
               1
      ))),0),
    ROUND(
      DR14*IF(DR14*$I14&lt;=$L14,$J14,$I14)*
      IF($P14=1,
         ($G14-$F14+1)/$Q14,
         IF(DR$4=1,
            ($M14-$F14+1)/$Q14,
            IF(DR$4=$P14,
               ($G14-$O14+1)/$R14,
               1
      ))),0)
))))</f>
        <v>-</v>
      </c>
      <c r="DT14" s="56" t="str" cm="1">
        <f t="array" ref="DT14">IF($H14&lt;&gt;リスト!$AA$3,"-",$E14-SUMPRODUCT(IFERROR($Y14:$DS14*1,0), --(MOD(COLUMN($Y14:$DS14)-COLUMN($Y14),2)=0)))</f>
        <v>-</v>
      </c>
      <c r="DU14" s="56" t="str">
        <f>IF($H14&lt;&gt;リスト!$AA$4,"-",
    IF($H$3=リスト!$AE$3,$E14-ROUNDUP($E14*I14*$W14/12,0),
    IF($H$3=リスト!$AE$4,$E14-ROUNDDOWN($E14*I14*$W14/12,0),
    IF($H$3=リスト!$AE$5,$E14-ROUND($E14*I14*$W14/12,0),
    "-"))))</f>
        <v>-</v>
      </c>
    </row>
    <row r="15" spans="2:125">
      <c r="B15" s="54">
        <v>10</v>
      </c>
      <c r="C15" s="55" t="str">
        <f>IF('財産処分報告(災害)用'!$C15="","-",'財産処分報告(災害)用'!$C15)</f>
        <v>-</v>
      </c>
      <c r="D15" s="55" t="str">
        <f>'財産処分報告(災害)用'!$E15</f>
        <v>-</v>
      </c>
      <c r="E15" s="56" t="str">
        <f>IF('財産処分報告(災害)用'!$J15="","-",'財産処分報告(災害)用'!$J15)</f>
        <v>-</v>
      </c>
      <c r="F15" s="101" t="str">
        <f>IF('財産処分報告(災害)用'!$K15="","-",'財産処分報告(災害)用'!$K15)</f>
        <v>-</v>
      </c>
      <c r="G15" s="101" t="str">
        <f>IF('財産処分報告(災害)用'!$L15="","-",'財産処分報告(災害)用'!$L15)</f>
        <v>-</v>
      </c>
      <c r="H15" s="55" t="str">
        <f>IF('財産処分報告(災害)用'!$M15="","-",'財産処分報告(災害)用'!$M15)</f>
        <v>-</v>
      </c>
      <c r="I15" s="55" t="str">
        <f>IF(OR($D15="-",$H15="-"),"-",INDEX(リスト!$AG$2:$AI$101,MATCH($D15,リスト!$AG$2:$AG$101,0),MATCH($H15,リスト!$AG$2:$AI$2,0)))</f>
        <v>-</v>
      </c>
      <c r="J15" s="55" t="str">
        <f>IF(OR($D15="-",$H15="-"),"-",IF($H15=リスト!$AA$4,"-",INDEX(リスト!$AG$2:$AK$101,MATCH($D15,リスト!$AG$2:$AG$101,0),4)))</f>
        <v>-</v>
      </c>
      <c r="K15" s="55" t="str">
        <f>IF(OR($D15="-",$H15="-"),"-",IF($H15=リスト!$AA$4,"-",INDEX(リスト!$AG$2:$AK$101,MATCH($D15,リスト!$AG$2:$AG$101,0),5)))</f>
        <v>-</v>
      </c>
      <c r="L15" s="55" t="str">
        <f t="shared" si="0"/>
        <v>-</v>
      </c>
      <c r="M15" s="101" t="str">
        <f t="shared" si="1"/>
        <v>-</v>
      </c>
      <c r="N15" s="101" t="str">
        <f t="shared" si="2"/>
        <v>-</v>
      </c>
      <c r="O15" s="101" t="str">
        <f t="shared" si="3"/>
        <v>-</v>
      </c>
      <c r="P15" s="102" t="str">
        <f t="shared" si="4"/>
        <v>-</v>
      </c>
      <c r="Q15" s="115" t="str">
        <f t="shared" si="5"/>
        <v>-</v>
      </c>
      <c r="R15" s="116" t="str">
        <f t="shared" si="6"/>
        <v>-</v>
      </c>
      <c r="S15" s="102" t="str">
        <f t="shared" si="7"/>
        <v>-</v>
      </c>
      <c r="T15" s="102" t="str">
        <f t="shared" si="8"/>
        <v>-</v>
      </c>
      <c r="U15" s="102" t="str">
        <f t="shared" si="9"/>
        <v>-</v>
      </c>
      <c r="V15" s="102" t="str">
        <f t="shared" si="10"/>
        <v>-</v>
      </c>
      <c r="W15" s="55" t="str">
        <f t="shared" si="11"/>
        <v>-</v>
      </c>
      <c r="X15" s="56" t="str">
        <f ca="1">IF($H15=リスト!$AA$4,"-",
   IF($C15="-","-",
     IF(X$4&gt;$P15,"-",
       IF(X$4=1,$E15,OFFSET(X15,0,-2)-OFFSET(X15,0,-1)
))))</f>
        <v>-</v>
      </c>
      <c r="Y15" s="57" t="str">
        <f>IF($H15=リスト!$AA$4,"-",
 IF($C15="-","-",
  IF(X$4&gt;$P15,"-",
   CHOOSE(MATCH($H$3,リスト!$AE$3:$AE$5,0),
    ROUNDUP(
      X15*IF(X15*$I15&lt;=$L15,$J15,$I15)*
      IF($P15=1,
         $S15/12,
         IF(X$4=1,
            $T15/12,
            IF(X$4=$P15,
               $U15/12,
               1
      ))),0),
    ROUNDDOWN(
      X15*IF(X15*$I15&lt;=$L15,$J15,$I15)*
      IF($P15=1,
         $S15/12,
         IF(X$4=1,
            $T15/12,
            IF(X$4=$P15,
               $U15/12,
               1
      ))),0),
    ROUND(
      X15*IF(X15*$I15&lt;=$L15,$J15,$I15)*
      IF($P15=1,
         $S15/12,
         IF(X$4=1,
            $T15/12,
            IF(X$4=$P15,
               $U15/12,
               1
      ))),0)
))))</f>
        <v>-</v>
      </c>
      <c r="Z15" s="56" t="str">
        <f ca="1">IF($H15=リスト!$AA$4,"-",
   IF($C15="-","-",
     IF(Z$4&gt;$P15,"-",
       IF(Z$4=1,$E15,OFFSET(Z15,0,-2)-OFFSET(Z15,0,-1)
))))</f>
        <v>-</v>
      </c>
      <c r="AA15" s="57" t="str">
        <f>IF($H15=リスト!$AA$4,"-",
 IF($C15="-","-",
  IF(Z$4&gt;$P15,"-",
   CHOOSE(MATCH($H$3,リスト!$AE$3:$AE$5,0),
    ROUNDUP(
      Z15*IF(Z15*$I15&lt;=$L15,$J15,$I15)*
      IF($P15=1,
         $S15/12,
         IF(Z$4=1,
            $T15/12,
            IF(Z$4=$P15,
               $U15/12,
               1
      ))),0),
    ROUNDDOWN(
      Z15*IF(Z15*$I15&lt;=$L15,$J15,$I15)*
      IF($P15=1,
         $S15/12,
         IF(Z$4=1,
            $T15/12,
            IF(Z$4=$P15,
               $U15/12,
               1
      ))),0),
    ROUND(
      Z15*IF(Z15*$I15&lt;=$L15,$J15,$I15)*
      IF($P15=1,
         $S15/12,
         IF(Z$4=1,
            $T15/12,
            IF(Z$4=$P15,
               $U15/12,
               1
      ))),0)
))))</f>
        <v>-</v>
      </c>
      <c r="AB15" s="56" t="str">
        <f ca="1">IF($H15=リスト!$AA$4,"-",
   IF($C15="-","-",
     IF(AB$4&gt;$P15,"-",
       IF(AB$4=1,$E15,OFFSET(AB15,0,-2)-OFFSET(AB15,0,-1)
))))</f>
        <v>-</v>
      </c>
      <c r="AC15" s="57" t="str">
        <f>IF($H15=リスト!$AA$4,"-",
 IF($C15="-","-",
  IF(AB$4&gt;$P15,"-",
   CHOOSE(MATCH($H$3,リスト!$AE$3:$AE$5,0),
    ROUNDUP(
      AB15*IF(AB15*$I15&lt;=$L15,$J15,$I15)*
      IF($P15=1,
         $S15/12,
         IF(AB$4=1,
            $T15/12,
            IF(AB$4=$P15,
               $U15/12,
               1
      ))),0),
    ROUNDDOWN(
      AB15*IF(AB15*$I15&lt;=$L15,$J15,$I15)*
      IF($P15=1,
         $S15/12,
         IF(AB$4=1,
            $T15/12,
            IF(AB$4=$P15,
               $U15/12,
               1
      ))),0),
    ROUND(
      AB15*IF(AB15*$I15&lt;=$L15,$J15,$I15)*
      IF($P15=1,
         $S15/12,
         IF(AB$4=1,
            $T15/12,
            IF(AB$4=$P15,
               $U15/12,
               1
      ))),0)
))))</f>
        <v>-</v>
      </c>
      <c r="AD15" s="56" t="str">
        <f ca="1">IF($H15=リスト!$AA$4,"-",
   IF($C15="-","-",
     IF(AD$4&gt;$P15,"-",
       IF(AD$4=1,$E15,OFFSET(AD15,0,-2)-OFFSET(AD15,0,-1)
))))</f>
        <v>-</v>
      </c>
      <c r="AE15" s="57" t="str">
        <f>IF($H15=リスト!$AA$4,"-",
 IF($C15="-","-",
  IF(AD$4&gt;$P15,"-",
   CHOOSE(MATCH($H$3,リスト!$AE$3:$AE$5,0),
    ROUNDUP(
      AD15*IF(AD15*$I15&lt;=$L15,$J15,$I15)*
      IF($P15=1,
         $S15/12,
         IF(AD$4=1,
            $T15/12,
            IF(AD$4=$P15,
               $U15/12,
               1
      ))),0),
    ROUNDDOWN(
      AD15*IF(AD15*$I15&lt;=$L15,$J15,$I15)*
      IF($P15=1,
         $S15/12,
         IF(AD$4=1,
            $T15/12,
            IF(AD$4=$P15,
               $U15/12,
               1
      ))),0),
    ROUND(
      AD15*IF(AD15*$I15&lt;=$L15,$J15,$I15)*
      IF($P15=1,
         $S15/12,
         IF(AD$4=1,
            $T15/12,
            IF(AD$4=$P15,
               $U15/12,
               1
      ))),0)
))))</f>
        <v>-</v>
      </c>
      <c r="AF15" s="56" t="str">
        <f ca="1">IF($H15=リスト!$AA$4,"-",
   IF($C15="-","-",
     IF(AF$4&gt;$P15,"-",
       IF(AF$4=1,$E15,OFFSET(AF15,0,-2)-OFFSET(AF15,0,-1)
))))</f>
        <v>-</v>
      </c>
      <c r="AG15" s="57" t="str">
        <f>IF($H15=リスト!$AA$4,"-",
 IF($C15="-","-",
  IF(AF$4&gt;$P15,"-",
   CHOOSE(MATCH($H$3,リスト!$AE$3:$AE$5,0),
    ROUNDUP(
      AF15*IF(AF15*$I15&lt;=$L15,$J15,$I15)*
      IF($P15=1,
         $S15/12,
         IF(AF$4=1,
            $T15/12,
            IF(AF$4=$P15,
               $U15/12,
               1
      ))),0),
    ROUNDDOWN(
      AF15*IF(AF15*$I15&lt;=$L15,$J15,$I15)*
      IF($P15=1,
         $S15/12,
         IF(AF$4=1,
            $T15/12,
            IF(AF$4=$P15,
               $U15/12,
               1
      ))),0),
    ROUND(
      AF15*IF(AF15*$I15&lt;=$L15,$J15,$I15)*
      IF($P15=1,
         $S15/12,
         IF(AF$4=1,
            $T15/12,
            IF(AF$4=$P15,
               $U15/12,
               1
      ))),0)
))))</f>
        <v>-</v>
      </c>
      <c r="AH15" s="56" t="str">
        <f ca="1">IF($H15=リスト!$AA$4,"-",
   IF($C15="-","-",
     IF(AH$4&gt;$P15,"-",
       IF(AH$4=1,$E15,OFFSET(AH15,0,-2)-OFFSET(AH15,0,-1)
))))</f>
        <v>-</v>
      </c>
      <c r="AI15" s="57" t="str">
        <f>IF($H15=リスト!$AA$4,"-",
 IF($C15="-","-",
  IF(AH$4&gt;$P15,"-",
   CHOOSE(MATCH($H$3,リスト!$AE$3:$AE$5,0),
    ROUNDUP(
      AH15*IF(AH15*$I15&lt;=$L15,$J15,$I15)*
      IF($P15=1,
         $S15/12,
         IF(AH$4=1,
            $T15/12,
            IF(AH$4=$P15,
               $U15/12,
               1
      ))),0),
    ROUNDDOWN(
      AH15*IF(AH15*$I15&lt;=$L15,$J15,$I15)*
      IF($P15=1,
         $S15/12,
         IF(AH$4=1,
            $T15/12,
            IF(AH$4=$P15,
               $U15/12,
               1
      ))),0),
    ROUND(
      AH15*IF(AH15*$I15&lt;=$L15,$J15,$I15)*
      IF($P15=1,
         $S15/12,
         IF(AH$4=1,
            $T15/12,
            IF(AH$4=$P15,
               $U15/12,
               1
      ))),0)
))))</f>
        <v>-</v>
      </c>
      <c r="AJ15" s="56" t="str">
        <f ca="1">IF($H15=リスト!$AA$4,"-",
   IF($C15="-","-",
     IF(AJ$4&gt;$P15,"-",
       IF(AJ$4=1,$E15,OFFSET(AJ15,0,-2)-OFFSET(AJ15,0,-1)
))))</f>
        <v>-</v>
      </c>
      <c r="AK15" s="57" t="str">
        <f>IF($H15=リスト!$AA$4,"-",
 IF($C15="-","-",
  IF(AJ$4&gt;$P15,"-",
   CHOOSE(MATCH($H$3,リスト!$AE$3:$AE$5,0),
    ROUNDUP(
      AJ15*IF(AJ15*$I15&lt;=$L15,$J15,$I15)*
      IF($P15=1,
         $S15/12,
         IF(AJ$4=1,
            $T15/12,
            IF(AJ$4=$P15,
               $U15/12,
               1
      ))),0),
    ROUNDDOWN(
      AJ15*IF(AJ15*$I15&lt;=$L15,$J15,$I15)*
      IF($P15=1,
         $S15/12,
         IF(AJ$4=1,
            $T15/12,
            IF(AJ$4=$P15,
               $U15/12,
               1
      ))),0),
    ROUND(
      AJ15*IF(AJ15*$I15&lt;=$L15,$J15,$I15)*
      IF($P15=1,
         $S15/12,
         IF(AJ$4=1,
            $T15/12,
            IF(AJ$4=$P15,
               $U15/12,
               1
      ))),0)
))))</f>
        <v>-</v>
      </c>
      <c r="AL15" s="56" t="str">
        <f ca="1">IF($H15=リスト!$AA$4,"-",
   IF($C15="-","-",
     IF(AL$4&gt;$P15,"-",
       IF(AL$4=1,$E15,OFFSET(AL15,0,-2)-OFFSET(AL15,0,-1)
))))</f>
        <v>-</v>
      </c>
      <c r="AM15" s="57" t="str">
        <f>IF($H15=リスト!$AA$4,"-",
 IF($C15="-","-",
  IF(AL$4&gt;$P15,"-",
   CHOOSE(MATCH($H$3,リスト!$AE$3:$AE$5,0),
    ROUNDUP(
      AL15*IF(AL15*$I15&lt;=$L15,$J15,$I15)*
      IF($P15=1,
         $S15/12,
         IF(AL$4=1,
            $T15/12,
            IF(AL$4=$P15,
               $U15/12,
               1
      ))),0),
    ROUNDDOWN(
      AL15*IF(AL15*$I15&lt;=$L15,$J15,$I15)*
      IF($P15=1,
         $S15/12,
         IF(AL$4=1,
            $T15/12,
            IF(AL$4=$P15,
               $U15/12,
               1
      ))),0),
    ROUND(
      AL15*IF(AL15*$I15&lt;=$L15,$J15,$I15)*
      IF($P15=1,
         $S15/12,
         IF(AL$4=1,
            $T15/12,
            IF(AL$4=$P15,
               $U15/12,
               1
      ))),0)
))))</f>
        <v>-</v>
      </c>
      <c r="AN15" s="56" t="str">
        <f ca="1">IF($H15=リスト!$AA$4,"-",
   IF($C15="-","-",
     IF(AN$4&gt;$P15,"-",
       IF(AN$4=1,$E15,OFFSET(AN15,0,-2)-OFFSET(AN15,0,-1)
))))</f>
        <v>-</v>
      </c>
      <c r="AO15" s="57" t="str">
        <f>IF($H15=リスト!$AA$4,"-",
 IF($C15="-","-",
  IF(AN$4&gt;$P15,"-",
   CHOOSE(MATCH($H$3,リスト!$AE$3:$AE$5,0),
    ROUNDUP(
      AN15*IF(AN15*$I15&lt;=$L15,$J15,$I15)*
      IF($P15=1,
         $S15/12,
         IF(AN$4=1,
            $T15/12,
            IF(AN$4=$P15,
               $U15/12,
               1
      ))),0),
    ROUNDDOWN(
      AN15*IF(AN15*$I15&lt;=$L15,$J15,$I15)*
      IF($P15=1,
         $S15/12,
         IF(AN$4=1,
            $T15/12,
            IF(AN$4=$P15,
               $U15/12,
               1
      ))),0),
    ROUND(
      AN15*IF(AN15*$I15&lt;=$L15,$J15,$I15)*
      IF($P15=1,
         $S15/12,
         IF(AN$4=1,
            $T15/12,
            IF(AN$4=$P15,
               $U15/12,
               1
      ))),0)
))))</f>
        <v>-</v>
      </c>
      <c r="AP15" s="56" t="str">
        <f ca="1">IF($H15=リスト!$AA$4,"-",
   IF($C15="-","-",
     IF(AP$4&gt;$P15,"-",
       IF(AP$4=1,$E15,OFFSET(AP15,0,-2)-OFFSET(AP15,0,-1)
))))</f>
        <v>-</v>
      </c>
      <c r="AQ15" s="57" t="str">
        <f>IF($H15=リスト!$AA$4,"-",
 IF($C15="-","-",
  IF(AP$4&gt;$P15,"-",
   CHOOSE(MATCH($H$3,リスト!$AE$3:$AE$5,0),
    ROUNDUP(
      AP15*IF(AP15*$I15&lt;=$L15,$J15,$I15)*
      IF($P15=1,
         $S15/12,
         IF(AP$4=1,
            $T15/12,
            IF(AP$4=$P15,
               $U15/12,
               1
      ))),0),
    ROUNDDOWN(
      AP15*IF(AP15*$I15&lt;=$L15,$J15,$I15)*
      IF($P15=1,
         $S15/12,
         IF(AP$4=1,
            $T15/12,
            IF(AP$4=$P15,
               $U15/12,
               1
      ))),0),
    ROUND(
      AP15*IF(AP15*$I15&lt;=$L15,$J15,$I15)*
      IF($P15=1,
         $S15/12,
         IF(AP$4=1,
            $T15/12,
            IF(AP$4=$P15,
               $U15/12,
               1
      ))),0)
))))</f>
        <v>-</v>
      </c>
      <c r="AR15" s="56" t="str">
        <f ca="1">IF($H15=リスト!$AA$4,"-",
   IF($C15="-","-",
     IF(AR$4&gt;$P15,"-",
       IF(AR$4=1,$E15,OFFSET(AR15,0,-2)-OFFSET(AR15,0,-1)
))))</f>
        <v>-</v>
      </c>
      <c r="AS15" s="57" t="str">
        <f>IF($H15=リスト!$AA$4,"-",
 IF($C15="-","-",
  IF(AR$4&gt;$P15,"-",
   CHOOSE(MATCH($H$3,リスト!$AE$3:$AE$5,0),
    ROUNDUP(
      AR15*IF(AR15*$I15&lt;=$L15,$J15,$I15)*
      IF($P15=1,
         $S15/12,
         IF(AR$4=1,
            $T15/12,
            IF(AR$4=$P15,
               $U15/12,
               1
      ))),0),
    ROUNDDOWN(
      AR15*IF(AR15*$I15&lt;=$L15,$J15,$I15)*
      IF($P15=1,
         $S15/12,
         IF(AR$4=1,
            $T15/12,
            IF(AR$4=$P15,
               $U15/12,
               1
      ))),0),
    ROUND(
      AR15*IF(AR15*$I15&lt;=$L15,$J15,$I15)*
      IF($P15=1,
         $S15/12,
         IF(AR$4=1,
            $T15/12,
            IF(AR$4=$P15,
               $U15/12,
               1
      ))),0)
))))</f>
        <v>-</v>
      </c>
      <c r="AT15" s="56" t="str">
        <f ca="1">IF($H15=リスト!$AA$4,"-",
   IF($C15="-","-",
     IF(AT$4&gt;$P15,"-",
       IF(AT$4=1,$E15,OFFSET(AT15,0,-2)-OFFSET(AT15,0,-1)
))))</f>
        <v>-</v>
      </c>
      <c r="AU15" s="57" t="str">
        <f>IF($H15=リスト!$AA$4,"-",
 IF($C15="-","-",
  IF(AT$4&gt;$P15,"-",
   CHOOSE(MATCH($H$3,リスト!$AE$3:$AE$5,0),
    ROUNDUP(
      AT15*IF(AT15*$I15&lt;=$L15,$J15,$I15)*
      IF($P15=1,
         $S15/12,
         IF(AT$4=1,
            $T15/12,
            IF(AT$4=$P15,
               $U15/12,
               1
      ))),0),
    ROUNDDOWN(
      AT15*IF(AT15*$I15&lt;=$L15,$J15,$I15)*
      IF($P15=1,
         $S15/12,
         IF(AT$4=1,
            $T15/12,
            IF(AT$4=$P15,
               $U15/12,
               1
      ))),0),
    ROUND(
      AT15*IF(AT15*$I15&lt;=$L15,$J15,$I15)*
      IF($P15=1,
         $S15/12,
         IF(AT$4=1,
            $T15/12,
            IF(AT$4=$P15,
               $U15/12,
               1
      ))),0)
))))</f>
        <v>-</v>
      </c>
      <c r="AV15" s="56" t="str">
        <f ca="1">IF($H15=リスト!$AA$4,"-",
   IF($C15="-","-",
     IF(AV$4&gt;$P15,"-",
       IF(AV$4=1,$E15,OFFSET(AV15,0,-2)-OFFSET(AV15,0,-1)
))))</f>
        <v>-</v>
      </c>
      <c r="AW15" s="57" t="str">
        <f>IF($H15=リスト!$AA$4,"-",
 IF($C15="-","-",
  IF(AV$4&gt;$P15,"-",
   CHOOSE(MATCH($H$3,リスト!$AE$3:$AE$5,0),
    ROUNDUP(
      AV15*IF(AV15*$I15&lt;=$L15,$J15,$I15)*
      IF($P15=1,
         $S15/12,
         IF(AV$4=1,
            $T15/12,
            IF(AV$4=$P15,
               $U15/12,
               1
      ))),0),
    ROUNDDOWN(
      AV15*IF(AV15*$I15&lt;=$L15,$J15,$I15)*
      IF($P15=1,
         $S15/12,
         IF(AV$4=1,
            $T15/12,
            IF(AV$4=$P15,
               $U15/12,
               1
      ))),0),
    ROUND(
      AV15*IF(AV15*$I15&lt;=$L15,$J15,$I15)*
      IF($P15=1,
         $S15/12,
         IF(AV$4=1,
            $T15/12,
            IF(AV$4=$P15,
               $U15/12,
               1
      ))),0)
))))</f>
        <v>-</v>
      </c>
      <c r="AX15" s="56" t="str">
        <f ca="1">IF($H15=リスト!$AA$4,"-",
   IF($C15="-","-",
     IF(AX$4&gt;$P15,"-",
       IF(AX$4=1,$E15,OFFSET(AX15,0,-2)-OFFSET(AX15,0,-1)
))))</f>
        <v>-</v>
      </c>
      <c r="AY15" s="57" t="str">
        <f>IF($H15=リスト!$AA$4,"-",
 IF($C15="-","-",
  IF(AX$4&gt;$P15,"-",
   CHOOSE(MATCH($H$3,リスト!$AE$3:$AE$5,0),
    ROUNDUP(
      AX15*IF(AX15*$I15&lt;=$L15,$J15,$I15)*
      IF($P15=1,
         $S15/12,
         IF(AX$4=1,
            $T15/12,
            IF(AX$4=$P15,
               $U15/12,
               1
      ))),0),
    ROUNDDOWN(
      AX15*IF(AX15*$I15&lt;=$L15,$J15,$I15)*
      IF($P15=1,
         $S15/12,
         IF(AX$4=1,
            $T15/12,
            IF(AX$4=$P15,
               $U15/12,
               1
      ))),0),
    ROUND(
      AX15*IF(AX15*$I15&lt;=$L15,$J15,$I15)*
      IF($P15=1,
         $S15/12,
         IF(AX$4=1,
            $T15/12,
            IF(AX$4=$P15,
               $U15/12,
               1
      ))),0)
))))</f>
        <v>-</v>
      </c>
      <c r="AZ15" s="56" t="str">
        <f ca="1">IF($H15=リスト!$AA$4,"-",
   IF($C15="-","-",
     IF(AZ$4&gt;$P15,"-",
       IF(AZ$4=1,$E15,OFFSET(AZ15,0,-2)-OFFSET(AZ15,0,-1)
))))</f>
        <v>-</v>
      </c>
      <c r="BA15" s="57" t="str">
        <f>IF($H15=リスト!$AA$4,"-",
 IF($C15="-","-",
  IF(AZ$4&gt;$P15,"-",
   CHOOSE(MATCH($H$3,リスト!$AE$3:$AE$5,0),
    ROUNDUP(
      AZ15*IF(AZ15*$I15&lt;=$L15,$J15,$I15)*
      IF($P15=1,
         $S15/12,
         IF(AZ$4=1,
            $T15/12,
            IF(AZ$4=$P15,
               $U15/12,
               1
      ))),0),
    ROUNDDOWN(
      AZ15*IF(AZ15*$I15&lt;=$L15,$J15,$I15)*
      IF($P15=1,
         $S15/12,
         IF(AZ$4=1,
            $T15/12,
            IF(AZ$4=$P15,
               $U15/12,
               1
      ))),0),
    ROUND(
      AZ15*IF(AZ15*$I15&lt;=$L15,$J15,$I15)*
      IF($P15=1,
         $S15/12,
         IF(AZ$4=1,
            $T15/12,
            IF(AZ$4=$P15,
               $U15/12,
               1
      ))),0)
))))</f>
        <v>-</v>
      </c>
      <c r="BB15" s="56" t="str">
        <f ca="1">IF($H15=リスト!$AA$4,"-",
   IF($C15="-","-",
     IF(BB$4&gt;$P15,"-",
       IF(BB$4=1,$E15,OFFSET(BB15,0,-2)-OFFSET(BB15,0,-1)
))))</f>
        <v>-</v>
      </c>
      <c r="BC15" s="57" t="str">
        <f>IF($H15=リスト!$AA$4,"-",
 IF($C15="-","-",
  IF(BB$4&gt;$P15,"-",
   CHOOSE(MATCH($H$3,リスト!$AE$3:$AE$5,0),
    ROUNDUP(
      BB15*IF(BB15*$I15&lt;=$L15,$J15,$I15)*
      IF($P15=1,
         $S15/12,
         IF(BB$4=1,
            $T15/12,
            IF(BB$4=$P15,
               $U15/12,
               1
      ))),0),
    ROUNDDOWN(
      BB15*IF(BB15*$I15&lt;=$L15,$J15,$I15)*
      IF($P15=1,
         $S15/12,
         IF(BB$4=1,
            $T15/12,
            IF(BB$4=$P15,
               $U15/12,
               1
      ))),0),
    ROUND(
      BB15*IF(BB15*$I15&lt;=$L15,$J15,$I15)*
      IF($P15=1,
         $S15/12,
         IF(BB$4=1,
            $T15/12,
            IF(BB$4=$P15,
               $U15/12,
               1
      ))),0)
))))</f>
        <v>-</v>
      </c>
      <c r="BD15" s="56" t="str">
        <f ca="1">IF($H15=リスト!$AA$4,"-",
   IF($C15="-","-",
     IF(BD$4&gt;$P15,"-",
       IF(BD$4=1,$E15,OFFSET(BD15,0,-2)-OFFSET(BD15,0,-1)
))))</f>
        <v>-</v>
      </c>
      <c r="BE15" s="57" t="str">
        <f>IF($H15=リスト!$AA$4,"-",
 IF($C15="-","-",
  IF(BD$4&gt;$P15,"-",
   CHOOSE(MATCH($H$3,リスト!$AE$3:$AE$5,0),
    ROUNDUP(
      BD15*IF(BD15*$I15&lt;=$L15,$J15,$I15)*
      IF($P15=1,
         $S15/12,
         IF(BD$4=1,
            $T15/12,
            IF(BD$4=$P15,
               $U15/12,
               1
      ))),0),
    ROUNDDOWN(
      BD15*IF(BD15*$I15&lt;=$L15,$J15,$I15)*
      IF($P15=1,
         $S15/12,
         IF(BD$4=1,
            $T15/12,
            IF(BD$4=$P15,
               $U15/12,
               1
      ))),0),
    ROUND(
      BD15*IF(BD15*$I15&lt;=$L15,$J15,$I15)*
      IF($P15=1,
         $S15/12,
         IF(BD$4=1,
            $T15/12,
            IF(BD$4=$P15,
               $U15/12,
               1
      ))),0)
))))</f>
        <v>-</v>
      </c>
      <c r="BF15" s="56" t="str">
        <f ca="1">IF($H15=リスト!$AA$4,"-",
   IF($C15="-","-",
     IF(BF$4&gt;$P15,"-",
       IF(BF$4=1,$E15,OFFSET(BF15,0,-2)-OFFSET(BF15,0,-1)
))))</f>
        <v>-</v>
      </c>
      <c r="BG15" s="57" t="str">
        <f>IF($H15=リスト!$AA$4,"-",
 IF($C15="-","-",
  IF(BF$4&gt;$P15,"-",
   CHOOSE(MATCH($H$3,リスト!$AE$3:$AE$5,0),
    ROUNDUP(
      BF15*IF(BF15*$I15&lt;=$L15,$J15,$I15)*
      IF($P15=1,
         $S15/12,
         IF(BF$4=1,
            $T15/12,
            IF(BF$4=$P15,
               $U15/12,
               1
      ))),0),
    ROUNDDOWN(
      BF15*IF(BF15*$I15&lt;=$L15,$J15,$I15)*
      IF($P15=1,
         $S15/12,
         IF(BF$4=1,
            $T15/12,
            IF(BF$4=$P15,
               $U15/12,
               1
      ))),0),
    ROUND(
      BF15*IF(BF15*$I15&lt;=$L15,$J15,$I15)*
      IF($P15=1,
         $S15/12,
         IF(BF$4=1,
            $T15/12,
            IF(BF$4=$P15,
               $U15/12,
               1
      ))),0)
))))</f>
        <v>-</v>
      </c>
      <c r="BH15" s="56" t="str">
        <f ca="1">IF($H15=リスト!$AA$4,"-",
   IF($C15="-","-",
     IF(BH$4&gt;$P15,"-",
       IF(BH$4=1,$E15,OFFSET(BH15,0,-2)-OFFSET(BH15,0,-1)
))))</f>
        <v>-</v>
      </c>
      <c r="BI15" s="57" t="str">
        <f>IF($H15=リスト!$AA$4,"-",
 IF($C15="-","-",
  IF(BH$4&gt;$P15,"-",
   CHOOSE(MATCH($H$3,リスト!$AE$3:$AE$5,0),
    ROUNDUP(
      BH15*IF(BH15*$I15&lt;=$L15,$J15,$I15)*
      IF($P15=1,
         $S15/12,
         IF(BH$4=1,
            $T15/12,
            IF(BH$4=$P15,
               $U15/12,
               1
      ))),0),
    ROUNDDOWN(
      BH15*IF(BH15*$I15&lt;=$L15,$J15,$I15)*
      IF($P15=1,
         $S15/12,
         IF(BH$4=1,
            $T15/12,
            IF(BH$4=$P15,
               $U15/12,
               1
      ))),0),
    ROUND(
      BH15*IF(BH15*$I15&lt;=$L15,$J15,$I15)*
      IF($P15=1,
         $S15/12,
         IF(BH$4=1,
            $T15/12,
            IF(BH$4=$P15,
               $U15/12,
               1
      ))),0)
))))</f>
        <v>-</v>
      </c>
      <c r="BJ15" s="56" t="str">
        <f ca="1">IF($H15=リスト!$AA$4,"-",
   IF($C15="-","-",
     IF(BJ$4&gt;$P15,"-",
       IF(BJ$4=1,$E15,OFFSET(BJ15,0,-2)-OFFSET(BJ15,0,-1)
))))</f>
        <v>-</v>
      </c>
      <c r="BK15" s="57" t="str">
        <f>IF($H15=リスト!$AA$4,"-",
 IF($C15="-","-",
  IF(BJ$4&gt;$P15,"-",
   CHOOSE(MATCH($H$3,リスト!$AE$3:$AE$5,0),
    ROUNDUP(
      BJ15*IF(BJ15*$I15&lt;=$L15,$J15,$I15)*
      IF($P15=1,
         $S15/12,
         IF(BJ$4=1,
            $T15/12,
            IF(BJ$4=$P15,
               $U15/12,
               1
      ))),0),
    ROUNDDOWN(
      BJ15*IF(BJ15*$I15&lt;=$L15,$J15,$I15)*
      IF($P15=1,
         $S15/12,
         IF(BJ$4=1,
            $T15/12,
            IF(BJ$4=$P15,
               $U15/12,
               1
      ))),0),
    ROUND(
      BJ15*IF(BJ15*$I15&lt;=$L15,$J15,$I15)*
      IF($P15=1,
         $S15/12,
         IF(BJ$4=1,
            $T15/12,
            IF(BJ$4=$P15,
               $U15/12,
               1
      ))),0)
))))</f>
        <v>-</v>
      </c>
      <c r="BL15" s="56" t="str">
        <f ca="1">IF($H15=リスト!$AA$4,"-",
   IF($C15="-","-",
     IF(BL$4&gt;$P15,"-",
       IF(BL$4=1,$E15,OFFSET(BL15,0,-2)-OFFSET(BL15,0,-1)
))))</f>
        <v>-</v>
      </c>
      <c r="BM15" s="57" t="str">
        <f>IF($H15=リスト!$AA$4,"-",
 IF($C15="-","-",
  IF(BL$4&gt;$P15,"-",
   CHOOSE(MATCH($H$3,リスト!$AE$3:$AE$5,0),
    ROUNDUP(
      BL15*IF(BL15*$I15&lt;=$L15,$J15,$I15)*
      IF($P15=1,
         $S15/12,
         IF(BL$4=1,
            $T15/12,
            IF(BL$4=$P15,
               $U15/12,
               1
      ))),0),
    ROUNDDOWN(
      BL15*IF(BL15*$I15&lt;=$L15,$J15,$I15)*
      IF($P15=1,
         $S15/12,
         IF(BL$4=1,
            $T15/12,
            IF(BL$4=$P15,
               $U15/12,
               1
      ))),0),
    ROUND(
      BL15*IF(BL15*$I15&lt;=$L15,$J15,$I15)*
      IF($P15=1,
         $S15/12,
         IF(BL$4=1,
            $T15/12,
            IF(BL$4=$P15,
               $U15/12,
               1
      ))),0)
))))</f>
        <v>-</v>
      </c>
      <c r="BN15" s="56" t="str">
        <f ca="1">IF($H15=リスト!$AA$4,"-",
   IF($C15="-","-",
     IF(BN$4&gt;$P15,"-",
       IF(BN$4=1,$E15,OFFSET(BN15,0,-2)-OFFSET(BN15,0,-1)
))))</f>
        <v>-</v>
      </c>
      <c r="BO15" s="57" t="str">
        <f>IF($H15=リスト!$AA$4,"-",
 IF($C15="-","-",
  IF(BN$4&gt;$P15,"-",
   CHOOSE(MATCH($H$3,リスト!$AE$3:$AE$5,0),
    ROUNDUP(
      BN15*IF(BN15*$I15&lt;=$L15,$J15,$I15)*
      IF($P15=1,
         $S15/12,
         IF(BN$4=1,
            $T15/12,
            IF(BN$4=$P15,
               $U15/12,
               1
      ))),0),
    ROUNDDOWN(
      BN15*IF(BN15*$I15&lt;=$L15,$J15,$I15)*
      IF($P15=1,
         $S15/12,
         IF(BN$4=1,
            $T15/12,
            IF(BN$4=$P15,
               $U15/12,
               1
      ))),0),
    ROUND(
      BN15*IF(BN15*$I15&lt;=$L15,$J15,$I15)*
      IF($P15=1,
         $S15/12,
         IF(BN$4=1,
            $T15/12,
            IF(BN$4=$P15,
               $U15/12,
               1
      ))),0)
))))</f>
        <v>-</v>
      </c>
      <c r="BP15" s="56" t="str">
        <f ca="1">IF($H15=リスト!$AA$4,"-",
   IF($C15="-","-",
     IF(BP$4&gt;$P15,"-",
       IF(BP$4=1,$E15,OFFSET(BP15,0,-2)-OFFSET(BP15,0,-1)
))))</f>
        <v>-</v>
      </c>
      <c r="BQ15" s="57" t="str">
        <f>IF($H15=リスト!$AA$4,"-",
 IF($C15="-","-",
  IF(BP$4&gt;$P15,"-",
   CHOOSE(MATCH($H$3,リスト!$AE$3:$AE$5,0),
    ROUNDUP(
      BP15*IF(BP15*$I15&lt;=$L15,$J15,$I15)*
      IF($P15=1,
         $S15/12,
         IF(BP$4=1,
            $T15/12,
            IF(BP$4=$P15,
               $U15/12,
               1
      ))),0),
    ROUNDDOWN(
      BP15*IF(BP15*$I15&lt;=$L15,$J15,$I15)*
      IF($P15=1,
         $S15/12,
         IF(BP$4=1,
            $T15/12,
            IF(BP$4=$P15,
               $U15/12,
               1
      ))),0),
    ROUND(
      BP15*IF(BP15*$I15&lt;=$L15,$J15,$I15)*
      IF($P15=1,
         $S15/12,
         IF(BP$4=1,
            $T15/12,
            IF(BP$4=$P15,
               $U15/12,
               1
      ))),0)
))))</f>
        <v>-</v>
      </c>
      <c r="BR15" s="56" t="str">
        <f ca="1">IF($H15=リスト!$AA$4,"-",
   IF($C15="-","-",
     IF(BR$4&gt;$P15,"-",
       IF(BR$4=1,$E15,OFFSET(BR15,0,-2)-OFFSET(BR15,0,-1)
))))</f>
        <v>-</v>
      </c>
      <c r="BS15" s="57" t="str">
        <f>IF($H15=リスト!$AA$4,"-",
 IF($C15="-","-",
  IF(BR$4&gt;$P15,"-",
   CHOOSE(MATCH($H$3,リスト!$AE$3:$AE$5,0),
    ROUNDUP(
      BR15*IF(BR15*$I15&lt;=$L15,$J15,$I15)*
      IF($P15=1,
         $S15/12,
         IF(BR$4=1,
            $T15/12,
            IF(BR$4=$P15,
               $U15/12,
               1
      ))),0),
    ROUNDDOWN(
      BR15*IF(BR15*$I15&lt;=$L15,$J15,$I15)*
      IF($P15=1,
         $S15/12,
         IF(BR$4=1,
            $T15/12,
            IF(BR$4=$P15,
               $U15/12,
               1
      ))),0),
    ROUND(
      BR15*IF(BR15*$I15&lt;=$L15,$J15,$I15)*
      IF($P15=1,
         $S15/12,
         IF(BR$4=1,
            $T15/12,
            IF(BR$4=$P15,
               $U15/12,
               1
      ))),0)
))))</f>
        <v>-</v>
      </c>
      <c r="BT15" s="56" t="str">
        <f ca="1">IF($H15=リスト!$AA$4,"-",
   IF($C15="-","-",
     IF(BT$4&gt;$P15,"-",
       IF(BT$4=1,$E15,OFFSET(BT15,0,-2)-OFFSET(BT15,0,-1)
))))</f>
        <v>-</v>
      </c>
      <c r="BU15" s="57" t="str">
        <f>IF($H15=リスト!$AA$4,"-",
 IF($C15="-","-",
  IF(BT$4&gt;$P15,"-",
   CHOOSE(MATCH($H$3,リスト!$AE$3:$AE$5,0),
    ROUNDUP(
      BT15*IF(BT15*$I15&lt;=$L15,$J15,$I15)*
      IF($P15=1,
         $S15/12,
         IF(BT$4=1,
            $T15/12,
            IF(BT$4=$P15,
               $U15/12,
               1
      ))),0),
    ROUNDDOWN(
      BT15*IF(BT15*$I15&lt;=$L15,$J15,$I15)*
      IF($P15=1,
         $S15/12,
         IF(BT$4=1,
            $T15/12,
            IF(BT$4=$P15,
               $U15/12,
               1
      ))),0),
    ROUND(
      BT15*IF(BT15*$I15&lt;=$L15,$J15,$I15)*
      IF($P15=1,
         $S15/12,
         IF(BT$4=1,
            $T15/12,
            IF(BT$4=$P15,
               $U15/12,
               1
      ))),0)
))))</f>
        <v>-</v>
      </c>
      <c r="BV15" s="56" t="str">
        <f ca="1">IF($H15=リスト!$AA$4,"-",
   IF($C15="-","-",
     IF(BV$4&gt;$P15,"-",
       IF(BV$4=1,$E15,OFFSET(BV15,0,-2)-OFFSET(BV15,0,-1)
))))</f>
        <v>-</v>
      </c>
      <c r="BW15" s="57" t="str">
        <f>IF($H15=リスト!$AA$4,"-",
 IF($C15="-","-",
  IF(BV$4&gt;$P15,"-",
   CHOOSE(MATCH($H$3,リスト!$AE$3:$AE$5,0),
    ROUNDUP(
      BV15*IF(BV15*$I15&lt;=$L15,$J15,$I15)*
      IF($P15=1,
         $S15/12,
         IF(BV$4=1,
            $T15/12,
            IF(BV$4=$P15,
               $U15/12,
               1
      ))),0),
    ROUNDDOWN(
      BV15*IF(BV15*$I15&lt;=$L15,$J15,$I15)*
      IF($P15=1,
         $S15/12,
         IF(BV$4=1,
            $T15/12,
            IF(BV$4=$P15,
               $U15/12,
               1
      ))),0),
    ROUND(
      BV15*IF(BV15*$I15&lt;=$L15,$J15,$I15)*
      IF($P15=1,
         $S15/12,
         IF(BV$4=1,
            $T15/12,
            IF(BV$4=$P15,
               $U15/12,
               1
      ))),0)
))))</f>
        <v>-</v>
      </c>
      <c r="BX15" s="56" t="str">
        <f ca="1">IF($H15=リスト!$AA$4,"-",
   IF($C15="-","-",
     IF(BX$4&gt;$P15,"-",
       IF(BX$4=1,$E15,OFFSET(BX15,0,-2)-OFFSET(BX15,0,-1)
))))</f>
        <v>-</v>
      </c>
      <c r="BY15" s="57" t="str">
        <f>IF($H15=リスト!$AA$4,"-",
 IF($C15="-","-",
  IF(BX$4&gt;$P15,"-",
   CHOOSE(MATCH($H$3,リスト!$AE$3:$AE$5,0),
    ROUNDUP(
      BX15*IF(BX15*$I15&lt;=$L15,$J15,$I15)*
      IF($P15=1,
         $S15/12,
         IF(BX$4=1,
            $T15/12,
            IF(BX$4=$P15,
               $U15/12,
               1
      ))),0),
    ROUNDDOWN(
      BX15*IF(BX15*$I15&lt;=$L15,$J15,$I15)*
      IF($P15=1,
         $S15/12,
         IF(BX$4=1,
            $T15/12,
            IF(BX$4=$P15,
               $U15/12,
               1
      ))),0),
    ROUND(
      BX15*IF(BX15*$I15&lt;=$L15,$J15,$I15)*
      IF($P15=1,
         $S15/12,
         IF(BX$4=1,
            $T15/12,
            IF(BX$4=$P15,
               $U15/12,
               1
      ))),0)
))))</f>
        <v>-</v>
      </c>
      <c r="BZ15" s="56" t="str">
        <f ca="1">IF($H15=リスト!$AA$4,"-",
   IF($C15="-","-",
     IF(BZ$4&gt;$P15,"-",
       IF(BZ$4=1,$E15,OFFSET(BZ15,0,-2)-OFFSET(BZ15,0,-1)
))))</f>
        <v>-</v>
      </c>
      <c r="CA15" s="57" t="str">
        <f>IF($H15=リスト!$AA$4,"-",
 IF($C15="-","-",
  IF(BZ$4&gt;$P15,"-",
   CHOOSE(MATCH($H$3,リスト!$AE$3:$AE$5,0),
    ROUNDUP(
      BZ15*IF(BZ15*$I15&lt;=$L15,$J15,$I15)*
      IF($P15=1,
         $S15/12,
         IF(BZ$4=1,
            $T15/12,
            IF(BZ$4=$P15,
               $U15/12,
               1
      ))),0),
    ROUNDDOWN(
      BZ15*IF(BZ15*$I15&lt;=$L15,$J15,$I15)*
      IF($P15=1,
         $S15/12,
         IF(BZ$4=1,
            $T15/12,
            IF(BZ$4=$P15,
               $U15/12,
               1
      ))),0),
    ROUND(
      BZ15*IF(BZ15*$I15&lt;=$L15,$J15,$I15)*
      IF($P15=1,
         $S15/12,
         IF(BZ$4=1,
            $T15/12,
            IF(BZ$4=$P15,
               $U15/12,
               1
      ))),0)
))))</f>
        <v>-</v>
      </c>
      <c r="CB15" s="56" t="str">
        <f ca="1">IF($H15=リスト!$AA$4,"-",
   IF($C15="-","-",
     IF(CB$4&gt;$P15,"-",
       IF(CB$4=1,$E15,OFFSET(CB15,0,-2)-OFFSET(CB15,0,-1)
))))</f>
        <v>-</v>
      </c>
      <c r="CC15" s="57" t="str">
        <f>IF($H15=リスト!$AA$4,"-",
 IF($C15="-","-",
  IF(CB$4&gt;$P15,"-",
   CHOOSE(MATCH($H$3,リスト!$AE$3:$AE$5,0),
    ROUNDUP(
      CB15*IF(CB15*$I15&lt;=$L15,$J15,$I15)*
      IF($P15=1,
         $S15/12,
         IF(CB$4=1,
            $T15/12,
            IF(CB$4=$P15,
               $U15/12,
               1
      ))),0),
    ROUNDDOWN(
      CB15*IF(CB15*$I15&lt;=$L15,$J15,$I15)*
      IF($P15=1,
         $S15/12,
         IF(CB$4=1,
            $T15/12,
            IF(CB$4=$P15,
               $U15/12,
               1
      ))),0),
    ROUND(
      CB15*IF(CB15*$I15&lt;=$L15,$J15,$I15)*
      IF($P15=1,
         $S15/12,
         IF(CB$4=1,
            $T15/12,
            IF(CB$4=$P15,
               $U15/12,
               1
      ))),0)
))))</f>
        <v>-</v>
      </c>
      <c r="CD15" s="56" t="str">
        <f ca="1">IF($H15=リスト!$AA$4,"-",
   IF($C15="-","-",
     IF(CD$4&gt;$P15,"-",
       IF(CD$4=1,$E15,OFFSET(CD15,0,-2)-OFFSET(CD15,0,-1)
))))</f>
        <v>-</v>
      </c>
      <c r="CE15" s="57" t="str">
        <f>IF($H15=リスト!$AA$4,"-",
 IF($C15="-","-",
  IF(CD$4&gt;$P15,"-",
   CHOOSE(MATCH($H$3,リスト!$AE$3:$AE$5,0),
    ROUNDUP(
      CD15*IF(CD15*$I15&lt;=$L15,$J15,$I15)*
      IF($P15=1,
         $S15/12,
         IF(CD$4=1,
            $T15/12,
            IF(CD$4=$P15,
               $U15/12,
               1
      ))),0),
    ROUNDDOWN(
      CD15*IF(CD15*$I15&lt;=$L15,$J15,$I15)*
      IF($P15=1,
         $S15/12,
         IF(CD$4=1,
            $T15/12,
            IF(CD$4=$P15,
               $U15/12,
               1
      ))),0),
    ROUND(
      CD15*IF(CD15*$I15&lt;=$L15,$J15,$I15)*
      IF($P15=1,
         $S15/12,
         IF(CD$4=1,
            $T15/12,
            IF(CD$4=$P15,
               $U15/12,
               1
      ))),0)
))))</f>
        <v>-</v>
      </c>
      <c r="CF15" s="56" t="str">
        <f ca="1">IF($H15=リスト!$AA$4,"-",
   IF($C15="-","-",
     IF(CF$4&gt;$P15,"-",
       IF(CF$4=1,$E15,OFFSET(CF15,0,-2)-OFFSET(CF15,0,-1)
))))</f>
        <v>-</v>
      </c>
      <c r="CG15" s="57" t="str">
        <f>IF($H15=リスト!$AA$4,"-",
 IF($C15="-","-",
  IF(CF$4&gt;$P15,"-",
   CHOOSE(MATCH($H$3,リスト!$AE$3:$AE$5,0),
    ROUNDUP(
      CF15*IF(CF15*$I15&lt;=$L15,$J15,$I15)*
      IF($P15=1,
         $S15/12,
         IF(CF$4=1,
            $T15/12,
            IF(CF$4=$P15,
               $U15/12,
               1
      ))),0),
    ROUNDDOWN(
      CF15*IF(CF15*$I15&lt;=$L15,$J15,$I15)*
      IF($P15=1,
         $S15/12,
         IF(CF$4=1,
            $T15/12,
            IF(CF$4=$P15,
               $U15/12,
               1
      ))),0),
    ROUND(
      CF15*IF(CF15*$I15&lt;=$L15,$J15,$I15)*
      IF($P15=1,
         $S15/12,
         IF(CF$4=1,
            $T15/12,
            IF(CF$4=$P15,
               $U15/12,
               1
      ))),0)
))))</f>
        <v>-</v>
      </c>
      <c r="CH15" s="56" t="str">
        <f ca="1">IF($H15=リスト!$AA$4,"-",
   IF($C15="-","-",
     IF(CH$4&gt;$P15,"-",
       IF(CH$4=1,$E15,OFFSET(CH15,0,-2)-OFFSET(CH15,0,-1)
))))</f>
        <v>-</v>
      </c>
      <c r="CI15" s="57" t="str">
        <f>IF($H15=リスト!$AA$4,"-",
 IF($C15="-","-",
  IF(CH$4&gt;$P15,"-",
   CHOOSE(MATCH($H$3,リスト!$AE$3:$AE$5,0),
    ROUNDUP(
      CH15*IF(CH15*$I15&lt;=$L15,$J15,$I15)*
      IF($P15=1,
         $S15/12,
         IF(CH$4=1,
            $T15/12,
            IF(CH$4=$P15,
               $U15/12,
               1
      ))),0),
    ROUNDDOWN(
      CH15*IF(CH15*$I15&lt;=$L15,$J15,$I15)*
      IF($P15=1,
         $S15/12,
         IF(CH$4=1,
            $T15/12,
            IF(CH$4=$P15,
               $U15/12,
               1
      ))),0),
    ROUND(
      CH15*IF(CH15*$I15&lt;=$L15,$J15,$I15)*
      IF($P15=1,
         $S15/12,
         IF(CH$4=1,
            $T15/12,
            IF(CH$4=$P15,
               $U15/12,
               1
      ))),0)
))))</f>
        <v>-</v>
      </c>
      <c r="CJ15" s="56" t="str">
        <f ca="1">IF($H15=リスト!$AA$4,"-",
   IF($C15="-","-",
     IF(CJ$4&gt;$P15,"-",
       IF(CJ$4=1,$E15,OFFSET(CJ15,0,-2)-OFFSET(CJ15,0,-1)
))))</f>
        <v>-</v>
      </c>
      <c r="CK15" s="57" t="str">
        <f>IF($H15=リスト!$AA$4,"-",
 IF($C15="-","-",
  IF(CJ$4&gt;$P15,"-",
   CHOOSE(MATCH($H$3,リスト!$AE$3:$AE$5,0),
    ROUNDUP(
      CJ15*IF(CJ15*$I15&lt;=$L15,$J15,$I15)*
      IF($P15=1,
         $S15/12,
         IF(CJ$4=1,
            $T15/12,
            IF(CJ$4=$P15,
               $U15/12,
               1
      ))),0),
    ROUNDDOWN(
      CJ15*IF(CJ15*$I15&lt;=$L15,$J15,$I15)*
      IF($P15=1,
         $S15/12,
         IF(CJ$4=1,
            $T15/12,
            IF(CJ$4=$P15,
               $U15/12,
               1
      ))),0),
    ROUND(
      CJ15*IF(CJ15*$I15&lt;=$L15,$J15,$I15)*
      IF($P15=1,
         $S15/12,
         IF(CJ$4=1,
            $T15/12,
            IF(CJ$4=$P15,
               $U15/12,
               1
      ))),0)
))))</f>
        <v>-</v>
      </c>
      <c r="CL15" s="56" t="str">
        <f ca="1">IF($H15=リスト!$AA$4,"-",
   IF($C15="-","-",
     IF(CL$4&gt;$P15,"-",
       IF(CL$4=1,$E15,OFFSET(CL15,0,-2)-OFFSET(CL15,0,-1)
))))</f>
        <v>-</v>
      </c>
      <c r="CM15" s="57" t="str">
        <f>IF($H15=リスト!$AA$4,"-",
 IF($C15="-","-",
  IF(CL$4&gt;$P15,"-",
   CHOOSE(MATCH($H$3,リスト!$AE$3:$AE$5,0),
    ROUNDUP(
      CL15*IF(CL15*$I15&lt;=$L15,$J15,$I15)*
      IF($P15=1,
         $S15/12,
         IF(CL$4=1,
            $T15/12,
            IF(CL$4=$P15,
               $U15/12,
               1
      ))),0),
    ROUNDDOWN(
      CL15*IF(CL15*$I15&lt;=$L15,$J15,$I15)*
      IF($P15=1,
         $S15/12,
         IF(CL$4=1,
            $T15/12,
            IF(CL$4=$P15,
               $U15/12,
               1
      ))),0),
    ROUND(
      CL15*IF(CL15*$I15&lt;=$L15,$J15,$I15)*
      IF($P15=1,
         $S15/12,
         IF(CL$4=1,
            $T15/12,
            IF(CL$4=$P15,
               $U15/12,
               1
      ))),0)
))))</f>
        <v>-</v>
      </c>
      <c r="CN15" s="56" t="str">
        <f ca="1">IF($H15=リスト!$AA$4,"-",
   IF($C15="-","-",
     IF(CN$4&gt;$P15,"-",
       IF(CN$4=1,$E15,OFFSET(CN15,0,-2)-OFFSET(CN15,0,-1)
))))</f>
        <v>-</v>
      </c>
      <c r="CO15" s="57" t="str">
        <f>IF($H15=リスト!$AA$4,"-",
 IF($C15="-","-",
  IF(CN$4&gt;$P15,"-",
   CHOOSE(MATCH($H$3,リスト!$AE$3:$AE$5,0),
    ROUNDUP(
      CN15*IF(CN15*$I15&lt;=$L15,$J15,$I15)*
      IF($P15=1,
         $S15/12,
         IF(CN$4=1,
            $T15/12,
            IF(CN$4=$P15,
               $U15/12,
               1
      ))),0),
    ROUNDDOWN(
      CN15*IF(CN15*$I15&lt;=$L15,$J15,$I15)*
      IF($P15=1,
         $S15/12,
         IF(CN$4=1,
            $T15/12,
            IF(CN$4=$P15,
               $U15/12,
               1
      ))),0),
    ROUND(
      CN15*IF(CN15*$I15&lt;=$L15,$J15,$I15)*
      IF($P15=1,
         $S15/12,
         IF(CN$4=1,
            $T15/12,
            IF(CN$4=$P15,
               $U15/12,
               1
      ))),0)
))))</f>
        <v>-</v>
      </c>
      <c r="CP15" s="56" t="str">
        <f ca="1">IF($H15=リスト!$AA$4,"-",
   IF($C15="-","-",
     IF(CP$4&gt;$P15,"-",
       IF(CP$4=1,$E15,OFFSET(CP15,0,-2)-OFFSET(CP15,0,-1)
))))</f>
        <v>-</v>
      </c>
      <c r="CQ15" s="57" t="str">
        <f>IF($H15=リスト!$AA$4,"-",
 IF($C15="-","-",
  IF(CP$4&gt;$P15,"-",
   CHOOSE(MATCH($H$3,リスト!$AE$3:$AE$5,0),
    ROUNDUP(
      CP15*IF(CP15*$I15&lt;=$L15,$J15,$I15)*
      IF($P15=1,
         $S15/12,
         IF(CP$4=1,
            $T15/12,
            IF(CP$4=$P15,
               $U15/12,
               1
      ))),0),
    ROUNDDOWN(
      CP15*IF(CP15*$I15&lt;=$L15,$J15,$I15)*
      IF($P15=1,
         $S15/12,
         IF(CP$4=1,
            $T15/12,
            IF(CP$4=$P15,
               $U15/12,
               1
      ))),0),
    ROUND(
      CP15*IF(CP15*$I15&lt;=$L15,$J15,$I15)*
      IF($P15=1,
         $S15/12,
         IF(CP$4=1,
            $T15/12,
            IF(CP$4=$P15,
               $U15/12,
               1
      ))),0)
))))</f>
        <v>-</v>
      </c>
      <c r="CR15" s="56" t="str">
        <f ca="1">IF($H15=リスト!$AA$4,"-",
   IF($C15="-","-",
     IF(CR$4&gt;$P15,"-",
       IF(CR$4=1,$E15,OFFSET(CR15,0,-2)-OFFSET(CR15,0,-1)
))))</f>
        <v>-</v>
      </c>
      <c r="CS15" s="57" t="str">
        <f>IF($H15=リスト!$AA$4,"-",
 IF($C15="-","-",
  IF(CR$4&gt;$P15,"-",
   CHOOSE(MATCH($H$3,リスト!$AE$3:$AE$5,0),
    ROUNDUP(
      CR15*IF(CR15*$I15&lt;=$L15,$J15,$I15)*
      IF($P15=1,
         $S15/12,
         IF(CR$4=1,
            $T15/12,
            IF(CR$4=$P15,
               $U15/12,
               1
      ))),0),
    ROUNDDOWN(
      CR15*IF(CR15*$I15&lt;=$L15,$J15,$I15)*
      IF($P15=1,
         $S15/12,
         IF(CR$4=1,
            $T15/12,
            IF(CR$4=$P15,
               $U15/12,
               1
      ))),0),
    ROUND(
      CR15*IF(CR15*$I15&lt;=$L15,$J15,$I15)*
      IF($P15=1,
         $S15/12,
         IF(CR$4=1,
            $T15/12,
            IF(CR$4=$P15,
               $U15/12,
               1
      ))),0)
))))</f>
        <v>-</v>
      </c>
      <c r="CT15" s="56" t="str">
        <f ca="1">IF($H15=リスト!$AA$4,"-",
   IF($C15="-","-",
     IF(CT$4&gt;$P15,"-",
       IF(CT$4=1,$E15,OFFSET(CT15,0,-2)-OFFSET(CT15,0,-1)
))))</f>
        <v>-</v>
      </c>
      <c r="CU15" s="57" t="str">
        <f>IF($H15=リスト!$AA$4,"-",
 IF($C15="-","-",
  IF(CT$4&gt;$P15,"-",
   CHOOSE(MATCH($H$3,リスト!$AE$3:$AE$5,0),
    ROUNDUP(
      CT15*IF(CT15*$I15&lt;=$L15,$J15,$I15)*
      IF($P15=1,
         $S15/12,
         IF(CT$4=1,
            $T15/12,
            IF(CT$4=$P15,
               $U15/12,
               1
      ))),0),
    ROUNDDOWN(
      CT15*IF(CT15*$I15&lt;=$L15,$J15,$I15)*
      IF($P15=1,
         $S15/12,
         IF(CT$4=1,
            $T15/12,
            IF(CT$4=$P15,
               $U15/12,
               1
      ))),0),
    ROUND(
      CT15*IF(CT15*$I15&lt;=$L15,$J15,$I15)*
      IF($P15=1,
         $S15/12,
         IF(CT$4=1,
            $T15/12,
            IF(CT$4=$P15,
               $U15/12,
               1
      ))),0)
))))</f>
        <v>-</v>
      </c>
      <c r="CV15" s="56" t="str">
        <f ca="1">IF($H15=リスト!$AA$4,"-",
   IF($C15="-","-",
     IF(CV$4&gt;$P15,"-",
       IF(CV$4=1,$E15,OFFSET(CV15,0,-2)-OFFSET(CV15,0,-1)
))))</f>
        <v>-</v>
      </c>
      <c r="CW15" s="57" t="str">
        <f>IF($H15=リスト!$AA$4,"-",
 IF($C15="-","-",
  IF(CV$4&gt;$P15,"-",
   CHOOSE(MATCH($H$3,リスト!$AE$3:$AE$5,0),
    ROUNDUP(
      CV15*IF(CV15*$I15&lt;=$L15,$J15,$I15)*
      IF($P15=1,
         $S15/12,
         IF(CV$4=1,
            $T15/12,
            IF(CV$4=$P15,
               $U15/12,
               1
      ))),0),
    ROUNDDOWN(
      CV15*IF(CV15*$I15&lt;=$L15,$J15,$I15)*
      IF($P15=1,
         $S15/12,
         IF(CV$4=1,
            $T15/12,
            IF(CV$4=$P15,
               $U15/12,
               1
      ))),0),
    ROUND(
      CV15*IF(CV15*$I15&lt;=$L15,$J15,$I15)*
      IF($P15=1,
         $S15/12,
         IF(CV$4=1,
            $T15/12,
            IF(CV$4=$P15,
               $U15/12,
               1
      ))),0)
))))</f>
        <v>-</v>
      </c>
      <c r="CX15" s="56" t="str">
        <f ca="1">IF($H15=リスト!$AA$4,"-",
   IF($C15="-","-",
     IF(CX$4&gt;$P15,"-",
       IF(CX$4=1,$E15,OFFSET(CX15,0,-2)-OFFSET(CX15,0,-1)
))))</f>
        <v>-</v>
      </c>
      <c r="CY15" s="57" t="str">
        <f>IF($H15=リスト!$AA$4,"-",
 IF($C15="-","-",
  IF(CX$4&gt;$P15,"-",
   CHOOSE(MATCH($H$3,リスト!$AE$3:$AE$5,0),
    ROUNDUP(
      CX15*IF(CX15*$I15&lt;=$L15,$J15,$I15)*
      IF($P15=1,
         $S15/12,
         IF(CX$4=1,
            $T15/12,
            IF(CX$4=$P15,
               $U15/12,
               1
      ))),0),
    ROUNDDOWN(
      CX15*IF(CX15*$I15&lt;=$L15,$J15,$I15)*
      IF($P15=1,
         $S15/12,
         IF(CX$4=1,
            $T15/12,
            IF(CX$4=$P15,
               $U15/12,
               1
      ))),0),
    ROUND(
      CX15*IF(CX15*$I15&lt;=$L15,$J15,$I15)*
      IF($P15=1,
         $S15/12,
         IF(CX$4=1,
            $T15/12,
            IF(CX$4=$P15,
               $U15/12,
               1
      ))),0)
))))</f>
        <v>-</v>
      </c>
      <c r="CZ15" s="56" t="str">
        <f ca="1">IF($H15=リスト!$AA$4,"-",
   IF($C15="-","-",
     IF(CZ$4&gt;$P15,"-",
       IF(CZ$4=1,$E15,OFFSET(CZ15,0,-2)-OFFSET(CZ15,0,-1)
))))</f>
        <v>-</v>
      </c>
      <c r="DA15" s="57" t="str">
        <f>IF($H15=リスト!$AA$4,"-",
 IF($C15="-","-",
  IF(CZ$4&gt;$P15,"-",
   CHOOSE(MATCH($H$3,リスト!$AE$3:$AE$5,0),
    ROUNDUP(
      CZ15*IF(CZ15*$I15&lt;=$L15,$J15,$I15)*
      IF($P15=1,
         $S15/12,
         IF(CZ$4=1,
            $T15/12,
            IF(CZ$4=$P15,
               $U15/12,
               1
      ))),0),
    ROUNDDOWN(
      CZ15*IF(CZ15*$I15&lt;=$L15,$J15,$I15)*
      IF($P15=1,
         $S15/12,
         IF(CZ$4=1,
            $T15/12,
            IF(CZ$4=$P15,
               $U15/12,
               1
      ))),0),
    ROUND(
      CZ15*IF(CZ15*$I15&lt;=$L15,$J15,$I15)*
      IF($P15=1,
         $S15/12,
         IF(CZ$4=1,
            $T15/12,
            IF(CZ$4=$P15,
               $U15/12,
               1
      ))),0)
))))</f>
        <v>-</v>
      </c>
      <c r="DB15" s="56" t="str">
        <f ca="1">IF($H15=リスト!$AA$4,"-",
   IF($C15="-","-",
     IF(DB$4&gt;$P15,"-",
       IF(DB$4=1,$E15,OFFSET(DB15,0,-2)-OFFSET(DB15,0,-1)
))))</f>
        <v>-</v>
      </c>
      <c r="DC15" s="57" t="str">
        <f>IF($H15=リスト!$AA$4,"-",
 IF($C15="-","-",
  IF(DB$4&gt;$P15,"-",
   CHOOSE(MATCH($H$3,リスト!$AE$3:$AE$5,0),
    ROUNDUP(
      DB15*IF(DB15*$I15&lt;=$L15,$J15,$I15)*
      IF($P15=1,
         $S15/12,
         IF(DB$4=1,
            $T15/12,
            IF(DB$4=$P15,
               $U15/12,
               1
      ))),0),
    ROUNDDOWN(
      DB15*IF(DB15*$I15&lt;=$L15,$J15,$I15)*
      IF($P15=1,
         $S15/12,
         IF(DB$4=1,
            $T15/12,
            IF(DB$4=$P15,
               $U15/12,
               1
      ))),0),
    ROUND(
      DB15*IF(DB15*$I15&lt;=$L15,$J15,$I15)*
      IF($P15=1,
         $S15/12,
         IF(DB$4=1,
            $T15/12,
            IF(DB$4=$P15,
               $U15/12,
               1
      ))),0)
))))</f>
        <v>-</v>
      </c>
      <c r="DD15" s="56" t="str">
        <f ca="1">IF($H15=リスト!$AA$4,"-",
   IF($C15="-","-",
     IF(DD$4&gt;$P15,"-",
       IF(DD$4=1,$E15,OFFSET(DD15,0,-2)-OFFSET(DD15,0,-1)
))))</f>
        <v>-</v>
      </c>
      <c r="DE15" s="57" t="str">
        <f>IF($H15=リスト!$AA$4,"-",
 IF($C15="-","-",
  IF(DD$4&gt;$P15,"-",
   CHOOSE(MATCH($H$3,リスト!$AE$3:$AE$5,0),
    ROUNDUP(
      DD15*IF(DD15*$I15&lt;=$L15,$J15,$I15)*
      IF($P15=1,
         $S15/12,
         IF(DD$4=1,
            $T15/12,
            IF(DD$4=$P15,
               $U15/12,
               1
      ))),0),
    ROUNDDOWN(
      DD15*IF(DD15*$I15&lt;=$L15,$J15,$I15)*
      IF($P15=1,
         $S15/12,
         IF(DD$4=1,
            $T15/12,
            IF(DD$4=$P15,
               $U15/12,
               1
      ))),0),
    ROUND(
      DD15*IF(DD15*$I15&lt;=$L15,$J15,$I15)*
      IF($P15=1,
         $S15/12,
         IF(DD$4=1,
            $T15/12,
            IF(DD$4=$P15,
               $U15/12,
               1
      ))),0)
))))</f>
        <v>-</v>
      </c>
      <c r="DF15" s="56" t="str">
        <f ca="1">IF($H15=リスト!$AA$4,"-",
   IF($C15="-","-",
     IF(DF$4&gt;$P15,"-",
       IF(DF$4=1,$E15,OFFSET(DF15,0,-2)-OFFSET(DF15,0,-1)
))))</f>
        <v>-</v>
      </c>
      <c r="DG15" s="57" t="str">
        <f>IF($H15=リスト!$AA$4,"-",
 IF($C15="-","-",
  IF(DF$4&gt;$P15,"-",
   CHOOSE(MATCH($H$3,リスト!$AE$3:$AE$5,0),
    ROUNDUP(
      DF15*IF(DF15*$I15&lt;=$L15,$J15,$I15)*
      IF($P15=1,
         $S15/12,
         IF(DF$4=1,
            $T15/12,
            IF(DF$4=$P15,
               $U15/12,
               1
      ))),0),
    ROUNDDOWN(
      DF15*IF(DF15*$I15&lt;=$L15,$J15,$I15)*
      IF($P15=1,
         $S15/12,
         IF(DF$4=1,
            $T15/12,
            IF(DF$4=$P15,
               $U15/12,
               1
      ))),0),
    ROUND(
      DF15*IF(DF15*$I15&lt;=$L15,$J15,$I15)*
      IF($P15=1,
         $S15/12,
         IF(DF$4=1,
            $T15/12,
            IF(DF$4=$P15,
               $U15/12,
               1
      ))),0)
))))</f>
        <v>-</v>
      </c>
      <c r="DH15" s="56" t="str">
        <f ca="1">IF($H15=リスト!$AA$4,"-",
   IF($C15="-","-",
     IF(DH$4&gt;$P15,"-",
       IF(DH$4=1,$E15,OFFSET(DH15,0,-2)-OFFSET(DH15,0,-1)
))))</f>
        <v>-</v>
      </c>
      <c r="DI15" s="57" t="str">
        <f>IF($H15=リスト!$AA$4,"-",
 IF($C15="-","-",
  IF(DH$4&gt;$P15,"-",
   CHOOSE(MATCH($H$3,リスト!$AE$3:$AE$5,0),
    ROUNDUP(
      DH15*IF(DH15*$I15&lt;=$L15,$J15,$I15)*
      IF($P15=1,
         $S15/12,
         IF(DH$4=1,
            $T15/12,
            IF(DH$4=$P15,
               $U15/12,
               1
      ))),0),
    ROUNDDOWN(
      DH15*IF(DH15*$I15&lt;=$L15,$J15,$I15)*
      IF($P15=1,
         $S15/12,
         IF(DH$4=1,
            $T15/12,
            IF(DH$4=$P15,
               $U15/12,
               1
      ))),0),
    ROUND(
      DH15*IF(DH15*$I15&lt;=$L15,$J15,$I15)*
      IF($P15=1,
         $S15/12,
         IF(DH$4=1,
            $T15/12,
            IF(DH$4=$P15,
               $U15/12,
               1
      ))),0)
))))</f>
        <v>-</v>
      </c>
      <c r="DJ15" s="56" t="str">
        <f ca="1">IF($H15=リスト!$AA$4,"-",
   IF($C15="-","-",
     IF(DJ$4&gt;$P15,"-",
       IF(DJ$4=1,$E15,OFFSET(DJ15,0,-2)-OFFSET(DJ15,0,-1)
))))</f>
        <v>-</v>
      </c>
      <c r="DK15" s="57" t="str">
        <f>IF($H15=リスト!$AA$4,"-",
 IF($C15="-","-",
  IF(DJ$4&gt;$P15,"-",
   CHOOSE(MATCH($H$3,リスト!$AE$3:$AE$5,0),
    ROUNDUP(
      DJ15*IF(DJ15*$I15&lt;=$L15,$J15,$I15)*
      IF($P15=1,
         $S15/12,
         IF(DJ$4=1,
            $T15/12,
            IF(DJ$4=$P15,
               $U15/12,
               1
      ))),0),
    ROUNDDOWN(
      DJ15*IF(DJ15*$I15&lt;=$L15,$J15,$I15)*
      IF($P15=1,
         $S15/12,
         IF(DJ$4=1,
            $T15/12,
            IF(DJ$4=$P15,
               $U15/12,
               1
      ))),0),
    ROUND(
      DJ15*IF(DJ15*$I15&lt;=$L15,$J15,$I15)*
      IF($P15=1,
         $S15/12,
         IF(DJ$4=1,
            $T15/12,
            IF(DJ$4=$P15,
               $U15/12,
               1
      ))),0)
))))</f>
        <v>-</v>
      </c>
      <c r="DL15" s="56" t="str">
        <f ca="1">IF($H15=リスト!$AA$4,"-",
   IF($C15="-","-",
     IF(DL$4&gt;$P15,"-",
       IF(DL$4=1,$E15,OFFSET(DL15,0,-2)-OFFSET(DL15,0,-1)
))))</f>
        <v>-</v>
      </c>
      <c r="DM15" s="57" t="str">
        <f>IF($H15=リスト!$AA$4,"-",
 IF($C15="-","-",
  IF(DL$4&gt;$P15,"-",
   CHOOSE(MATCH($H$3,リスト!$AE$3:$AE$5,0),
    ROUNDUP(
      DL15*IF(DL15*$I15&lt;=$L15,$J15,$I15)*
      IF($P15=1,
         $S15/12,
         IF(DL$4=1,
            $T15/12,
            IF(DL$4=$P15,
               $U15/12,
               1
      ))),0),
    ROUNDDOWN(
      DL15*IF(DL15*$I15&lt;=$L15,$J15,$I15)*
      IF($P15=1,
         $S15/12,
         IF(DL$4=1,
            $T15/12,
            IF(DL$4=$P15,
               $U15/12,
               1
      ))),0),
    ROUND(
      DL15*IF(DL15*$I15&lt;=$L15,$J15,$I15)*
      IF($P15=1,
         $S15/12,
         IF(DL$4=1,
            $T15/12,
            IF(DL$4=$P15,
               $U15/12,
               1
      ))),0)
))))</f>
        <v>-</v>
      </c>
      <c r="DN15" s="56" t="str">
        <f ca="1">IF($H15=リスト!$AA$4,"-",
   IF($C15="-","-",
     IF(DN$4&gt;$P15,"-",
       IF(DN$4=1,$E15,OFFSET(DN15,0,-2)-OFFSET(DN15,0,-1)
))))</f>
        <v>-</v>
      </c>
      <c r="DO15" s="57" t="str">
        <f>IF($H15=リスト!$AA$4,"-",
 IF($C15="-","-",
  IF(DN$4&gt;$P15,"-",
   CHOOSE(MATCH($H$3,リスト!$AE$3:$AE$5,0),
    ROUNDUP(
      DN15*IF(DN15*$I15&lt;=$L15,$J15,$I15)*
      IF($P15=1,
         $S15/12,
         IF(DN$4=1,
            $T15/12,
            IF(DN$4=$P15,
               $U15/12,
               1
      ))),0),
    ROUNDDOWN(
      DN15*IF(DN15*$I15&lt;=$L15,$J15,$I15)*
      IF($P15=1,
         $S15/12,
         IF(DN$4=1,
            $T15/12,
            IF(DN$4=$P15,
               $U15/12,
               1
      ))),0),
    ROUND(
      DN15*IF(DN15*$I15&lt;=$L15,$J15,$I15)*
      IF($P15=1,
         $S15/12,
         IF(DN$4=1,
            $T15/12,
            IF(DN$4=$P15,
               $U15/12,
               1
      ))),0)
))))</f>
        <v>-</v>
      </c>
      <c r="DP15" s="56" t="str">
        <f ca="1">IF($H15=リスト!$AA$4,"-",
   IF($C15="-","-",
     IF(DP$4&gt;$P15,"-",
       IF(DP$4=1,$E15,OFFSET(DP15,0,-2)-OFFSET(DP15,0,-1)
))))</f>
        <v>-</v>
      </c>
      <c r="DQ15" s="57" t="str">
        <f>IF($H15=リスト!$AA$4,"-",
 IF($C15="-","-",
  IF(DP$4&gt;$P15,"-",
   CHOOSE(MATCH($H$3,リスト!$AE$3:$AE$5,0),
    ROUNDUP(
      DP15*IF(DP15*$I15&lt;=$L15,$J15,$I15)*
      IF($P15=1,
         $S15/12,
         IF(DP$4=1,
            $T15/12,
            IF(DP$4=$P15,
               $U15/12,
               1
      ))),0),
    ROUNDDOWN(
      DP15*IF(DP15*$I15&lt;=$L15,$J15,$I15)*
      IF($P15=1,
         $S15/12,
         IF(DP$4=1,
            $T15/12,
            IF(DP$4=$P15,
               $U15/12,
               1
      ))),0),
    ROUND(
      DP15*IF(DP15*$I15&lt;=$L15,$J15,$I15)*
      IF($P15=1,
         $S15/12,
         IF(DP$4=1,
            $T15/12,
            IF(DP$4=$P15,
               $U15/12,
               1
      ))),0)
))))</f>
        <v>-</v>
      </c>
      <c r="DR15" s="56" t="str">
        <f ca="1">IF($H15=リスト!$AA$4,"-",
   IF($C15="-","-",
     IF(DR$4&gt;$P15,"-",
       IF(DR$4=1,$E15,OFFSET(DR15,0,-2)-OFFSET(DR15,0,-1)
))))</f>
        <v>-</v>
      </c>
      <c r="DS15" s="57" t="str">
        <f>IF($H15=リスト!$AA$4,"-",
 IF($C15="-","-",
  IF(DR$4&gt;$P15,"-",
   CHOOSE(MATCH($H$3,リスト!$AE$3:$AE$5,0),
    ROUNDUP(
      DR15*IF(DR15*$I15&lt;=$L15,$J15,$I15)*
      IF($P15=1,
         ($G15-$F15+1)/$Q15,
         IF(DR$4=1,
            ($M15-$F15+1)/$Q15,
            IF(DR$4=$P15,
               ($G15-$O15+1)/$R15,
               1
      ))),0),
    ROUNDDOWN(
      DR15*IF(DR15*$I15&lt;=$L15,$J15,$I15)*
      IF($P15=1,
         ($G15-$F15+1)/$Q15,
         IF(DR$4=1,
            ($M15-$F15+1)/$Q15,
            IF(DR$4=$P15,
               ($G15-$O15+1)/$R15,
               1
      ))),0),
    ROUND(
      DR15*IF(DR15*$I15&lt;=$L15,$J15,$I15)*
      IF($P15=1,
         ($G15-$F15+1)/$Q15,
         IF(DR$4=1,
            ($M15-$F15+1)/$Q15,
            IF(DR$4=$P15,
               ($G15-$O15+1)/$R15,
               1
      ))),0)
))))</f>
        <v>-</v>
      </c>
      <c r="DT15" s="56" t="str" cm="1">
        <f t="array" ref="DT15">IF($H15&lt;&gt;リスト!$AA$3,"-",$E15-SUMPRODUCT(IFERROR($Y15:$DS15*1,0), --(MOD(COLUMN($Y15:$DS15)-COLUMN($Y15),2)=0)))</f>
        <v>-</v>
      </c>
      <c r="DU15" s="56" t="str">
        <f>IF($H15&lt;&gt;リスト!$AA$4,"-",
    IF($H$3=リスト!$AE$3,$E15-ROUNDUP($E15*I15*$W15/12,0),
    IF($H$3=リスト!$AE$4,$E15-ROUNDDOWN($E15*I15*$W15/12,0),
    IF($H$3=リスト!$AE$5,$E15-ROUND($E15*I15*$W15/12,0),
    "-"))))</f>
        <v>-</v>
      </c>
    </row>
    <row r="16" spans="2:125">
      <c r="B16" s="54">
        <v>11</v>
      </c>
      <c r="C16" s="55" t="str">
        <f>IF('財産処分報告(災害)用'!$C16="","-",'財産処分報告(災害)用'!$C16)</f>
        <v>-</v>
      </c>
      <c r="D16" s="55" t="str">
        <f>'財産処分報告(災害)用'!$E16</f>
        <v>-</v>
      </c>
      <c r="E16" s="56" t="str">
        <f>IF('財産処分報告(災害)用'!$J16="","-",'財産処分報告(災害)用'!$J16)</f>
        <v>-</v>
      </c>
      <c r="F16" s="101" t="str">
        <f>IF('財産処分報告(災害)用'!$K16="","-",'財産処分報告(災害)用'!$K16)</f>
        <v>-</v>
      </c>
      <c r="G16" s="101" t="str">
        <f>IF('財産処分報告(災害)用'!$L16="","-",'財産処分報告(災害)用'!$L16)</f>
        <v>-</v>
      </c>
      <c r="H16" s="55" t="str">
        <f>IF('財産処分報告(災害)用'!$M16="","-",'財産処分報告(災害)用'!$M16)</f>
        <v>-</v>
      </c>
      <c r="I16" s="55" t="str">
        <f>IF(OR($D16="-",$H16="-"),"-",INDEX(リスト!$AG$2:$AI$101,MATCH($D16,リスト!$AG$2:$AG$101,0),MATCH($H16,リスト!$AG$2:$AI$2,0)))</f>
        <v>-</v>
      </c>
      <c r="J16" s="55" t="str">
        <f>IF(OR($D16="-",$H16="-"),"-",IF($H16=リスト!$AA$4,"-",INDEX(リスト!$AG$2:$AK$101,MATCH($D16,リスト!$AG$2:$AG$101,0),4)))</f>
        <v>-</v>
      </c>
      <c r="K16" s="55" t="str">
        <f>IF(OR($D16="-",$H16="-"),"-",IF($H16=リスト!$AA$4,"-",INDEX(リスト!$AG$2:$AK$101,MATCH($D16,リスト!$AG$2:$AG$101,0),5)))</f>
        <v>-</v>
      </c>
      <c r="L16" s="55" t="str">
        <f t="shared" si="0"/>
        <v>-</v>
      </c>
      <c r="M16" s="101" t="str">
        <f t="shared" si="1"/>
        <v>-</v>
      </c>
      <c r="N16" s="101" t="str">
        <f t="shared" si="2"/>
        <v>-</v>
      </c>
      <c r="O16" s="101" t="str">
        <f t="shared" si="3"/>
        <v>-</v>
      </c>
      <c r="P16" s="102" t="str">
        <f t="shared" si="4"/>
        <v>-</v>
      </c>
      <c r="Q16" s="115" t="str">
        <f t="shared" si="5"/>
        <v>-</v>
      </c>
      <c r="R16" s="116" t="str">
        <f t="shared" si="6"/>
        <v>-</v>
      </c>
      <c r="S16" s="102" t="str">
        <f t="shared" si="7"/>
        <v>-</v>
      </c>
      <c r="T16" s="102" t="str">
        <f t="shared" si="8"/>
        <v>-</v>
      </c>
      <c r="U16" s="102" t="str">
        <f t="shared" si="9"/>
        <v>-</v>
      </c>
      <c r="V16" s="102" t="str">
        <f t="shared" si="10"/>
        <v>-</v>
      </c>
      <c r="W16" s="55" t="str">
        <f t="shared" si="11"/>
        <v>-</v>
      </c>
      <c r="X16" s="56" t="str">
        <f ca="1">IF($H16=リスト!$AA$4,"-",
   IF($C16="-","-",
     IF(X$4&gt;$P16,"-",
       IF(X$4=1,$E16,OFFSET(X16,0,-2)-OFFSET(X16,0,-1)
))))</f>
        <v>-</v>
      </c>
      <c r="Y16" s="57" t="str">
        <f>IF($H16=リスト!$AA$4,"-",
 IF($C16="-","-",
  IF(X$4&gt;$P16,"-",
   CHOOSE(MATCH($H$3,リスト!$AE$3:$AE$5,0),
    ROUNDUP(
      X16*IF(X16*$I16&lt;=$L16,$J16,$I16)*
      IF($P16=1,
         $S16/12,
         IF(X$4=1,
            $T16/12,
            IF(X$4=$P16,
               $U16/12,
               1
      ))),0),
    ROUNDDOWN(
      X16*IF(X16*$I16&lt;=$L16,$J16,$I16)*
      IF($P16=1,
         $S16/12,
         IF(X$4=1,
            $T16/12,
            IF(X$4=$P16,
               $U16/12,
               1
      ))),0),
    ROUND(
      X16*IF(X16*$I16&lt;=$L16,$J16,$I16)*
      IF($P16=1,
         $S16/12,
         IF(X$4=1,
            $T16/12,
            IF(X$4=$P16,
               $U16/12,
               1
      ))),0)
))))</f>
        <v>-</v>
      </c>
      <c r="Z16" s="56" t="str">
        <f ca="1">IF($H16=リスト!$AA$4,"-",
   IF($C16="-","-",
     IF(Z$4&gt;$P16,"-",
       IF(Z$4=1,$E16,OFFSET(Z16,0,-2)-OFFSET(Z16,0,-1)
))))</f>
        <v>-</v>
      </c>
      <c r="AA16" s="57" t="str">
        <f>IF($H16=リスト!$AA$4,"-",
 IF($C16="-","-",
  IF(Z$4&gt;$P16,"-",
   CHOOSE(MATCH($H$3,リスト!$AE$3:$AE$5,0),
    ROUNDUP(
      Z16*IF(Z16*$I16&lt;=$L16,$J16,$I16)*
      IF($P16=1,
         $S16/12,
         IF(Z$4=1,
            $T16/12,
            IF(Z$4=$P16,
               $U16/12,
               1
      ))),0),
    ROUNDDOWN(
      Z16*IF(Z16*$I16&lt;=$L16,$J16,$I16)*
      IF($P16=1,
         $S16/12,
         IF(Z$4=1,
            $T16/12,
            IF(Z$4=$P16,
               $U16/12,
               1
      ))),0),
    ROUND(
      Z16*IF(Z16*$I16&lt;=$L16,$J16,$I16)*
      IF($P16=1,
         $S16/12,
         IF(Z$4=1,
            $T16/12,
            IF(Z$4=$P16,
               $U16/12,
               1
      ))),0)
))))</f>
        <v>-</v>
      </c>
      <c r="AB16" s="56" t="str">
        <f ca="1">IF($H16=リスト!$AA$4,"-",
   IF($C16="-","-",
     IF(AB$4&gt;$P16,"-",
       IF(AB$4=1,$E16,OFFSET(AB16,0,-2)-OFFSET(AB16,0,-1)
))))</f>
        <v>-</v>
      </c>
      <c r="AC16" s="57" t="str">
        <f>IF($H16=リスト!$AA$4,"-",
 IF($C16="-","-",
  IF(AB$4&gt;$P16,"-",
   CHOOSE(MATCH($H$3,リスト!$AE$3:$AE$5,0),
    ROUNDUP(
      AB16*IF(AB16*$I16&lt;=$L16,$J16,$I16)*
      IF($P16=1,
         $S16/12,
         IF(AB$4=1,
            $T16/12,
            IF(AB$4=$P16,
               $U16/12,
               1
      ))),0),
    ROUNDDOWN(
      AB16*IF(AB16*$I16&lt;=$L16,$J16,$I16)*
      IF($P16=1,
         $S16/12,
         IF(AB$4=1,
            $T16/12,
            IF(AB$4=$P16,
               $U16/12,
               1
      ))),0),
    ROUND(
      AB16*IF(AB16*$I16&lt;=$L16,$J16,$I16)*
      IF($P16=1,
         $S16/12,
         IF(AB$4=1,
            $T16/12,
            IF(AB$4=$P16,
               $U16/12,
               1
      ))),0)
))))</f>
        <v>-</v>
      </c>
      <c r="AD16" s="56" t="str">
        <f ca="1">IF($H16=リスト!$AA$4,"-",
   IF($C16="-","-",
     IF(AD$4&gt;$P16,"-",
       IF(AD$4=1,$E16,OFFSET(AD16,0,-2)-OFFSET(AD16,0,-1)
))))</f>
        <v>-</v>
      </c>
      <c r="AE16" s="57" t="str">
        <f>IF($H16=リスト!$AA$4,"-",
 IF($C16="-","-",
  IF(AD$4&gt;$P16,"-",
   CHOOSE(MATCH($H$3,リスト!$AE$3:$AE$5,0),
    ROUNDUP(
      AD16*IF(AD16*$I16&lt;=$L16,$J16,$I16)*
      IF($P16=1,
         $S16/12,
         IF(AD$4=1,
            $T16/12,
            IF(AD$4=$P16,
               $U16/12,
               1
      ))),0),
    ROUNDDOWN(
      AD16*IF(AD16*$I16&lt;=$L16,$J16,$I16)*
      IF($P16=1,
         $S16/12,
         IF(AD$4=1,
            $T16/12,
            IF(AD$4=$P16,
               $U16/12,
               1
      ))),0),
    ROUND(
      AD16*IF(AD16*$I16&lt;=$L16,$J16,$I16)*
      IF($P16=1,
         $S16/12,
         IF(AD$4=1,
            $T16/12,
            IF(AD$4=$P16,
               $U16/12,
               1
      ))),0)
))))</f>
        <v>-</v>
      </c>
      <c r="AF16" s="56" t="str">
        <f ca="1">IF($H16=リスト!$AA$4,"-",
   IF($C16="-","-",
     IF(AF$4&gt;$P16,"-",
       IF(AF$4=1,$E16,OFFSET(AF16,0,-2)-OFFSET(AF16,0,-1)
))))</f>
        <v>-</v>
      </c>
      <c r="AG16" s="57" t="str">
        <f>IF($H16=リスト!$AA$4,"-",
 IF($C16="-","-",
  IF(AF$4&gt;$P16,"-",
   CHOOSE(MATCH($H$3,リスト!$AE$3:$AE$5,0),
    ROUNDUP(
      AF16*IF(AF16*$I16&lt;=$L16,$J16,$I16)*
      IF($P16=1,
         $S16/12,
         IF(AF$4=1,
            $T16/12,
            IF(AF$4=$P16,
               $U16/12,
               1
      ))),0),
    ROUNDDOWN(
      AF16*IF(AF16*$I16&lt;=$L16,$J16,$I16)*
      IF($P16=1,
         $S16/12,
         IF(AF$4=1,
            $T16/12,
            IF(AF$4=$P16,
               $U16/12,
               1
      ))),0),
    ROUND(
      AF16*IF(AF16*$I16&lt;=$L16,$J16,$I16)*
      IF($P16=1,
         $S16/12,
         IF(AF$4=1,
            $T16/12,
            IF(AF$4=$P16,
               $U16/12,
               1
      ))),0)
))))</f>
        <v>-</v>
      </c>
      <c r="AH16" s="56" t="str">
        <f ca="1">IF($H16=リスト!$AA$4,"-",
   IF($C16="-","-",
     IF(AH$4&gt;$P16,"-",
       IF(AH$4=1,$E16,OFFSET(AH16,0,-2)-OFFSET(AH16,0,-1)
))))</f>
        <v>-</v>
      </c>
      <c r="AI16" s="57" t="str">
        <f>IF($H16=リスト!$AA$4,"-",
 IF($C16="-","-",
  IF(AH$4&gt;$P16,"-",
   CHOOSE(MATCH($H$3,リスト!$AE$3:$AE$5,0),
    ROUNDUP(
      AH16*IF(AH16*$I16&lt;=$L16,$J16,$I16)*
      IF($P16=1,
         $S16/12,
         IF(AH$4=1,
            $T16/12,
            IF(AH$4=$P16,
               $U16/12,
               1
      ))),0),
    ROUNDDOWN(
      AH16*IF(AH16*$I16&lt;=$L16,$J16,$I16)*
      IF($P16=1,
         $S16/12,
         IF(AH$4=1,
            $T16/12,
            IF(AH$4=$P16,
               $U16/12,
               1
      ))),0),
    ROUND(
      AH16*IF(AH16*$I16&lt;=$L16,$J16,$I16)*
      IF($P16=1,
         $S16/12,
         IF(AH$4=1,
            $T16/12,
            IF(AH$4=$P16,
               $U16/12,
               1
      ))),0)
))))</f>
        <v>-</v>
      </c>
      <c r="AJ16" s="56" t="str">
        <f ca="1">IF($H16=リスト!$AA$4,"-",
   IF($C16="-","-",
     IF(AJ$4&gt;$P16,"-",
       IF(AJ$4=1,$E16,OFFSET(AJ16,0,-2)-OFFSET(AJ16,0,-1)
))))</f>
        <v>-</v>
      </c>
      <c r="AK16" s="57" t="str">
        <f>IF($H16=リスト!$AA$4,"-",
 IF($C16="-","-",
  IF(AJ$4&gt;$P16,"-",
   CHOOSE(MATCH($H$3,リスト!$AE$3:$AE$5,0),
    ROUNDUP(
      AJ16*IF(AJ16*$I16&lt;=$L16,$J16,$I16)*
      IF($P16=1,
         $S16/12,
         IF(AJ$4=1,
            $T16/12,
            IF(AJ$4=$P16,
               $U16/12,
               1
      ))),0),
    ROUNDDOWN(
      AJ16*IF(AJ16*$I16&lt;=$L16,$J16,$I16)*
      IF($P16=1,
         $S16/12,
         IF(AJ$4=1,
            $T16/12,
            IF(AJ$4=$P16,
               $U16/12,
               1
      ))),0),
    ROUND(
      AJ16*IF(AJ16*$I16&lt;=$L16,$J16,$I16)*
      IF($P16=1,
         $S16/12,
         IF(AJ$4=1,
            $T16/12,
            IF(AJ$4=$P16,
               $U16/12,
               1
      ))),0)
))))</f>
        <v>-</v>
      </c>
      <c r="AL16" s="56" t="str">
        <f ca="1">IF($H16=リスト!$AA$4,"-",
   IF($C16="-","-",
     IF(AL$4&gt;$P16,"-",
       IF(AL$4=1,$E16,OFFSET(AL16,0,-2)-OFFSET(AL16,0,-1)
))))</f>
        <v>-</v>
      </c>
      <c r="AM16" s="57" t="str">
        <f>IF($H16=リスト!$AA$4,"-",
 IF($C16="-","-",
  IF(AL$4&gt;$P16,"-",
   CHOOSE(MATCH($H$3,リスト!$AE$3:$AE$5,0),
    ROUNDUP(
      AL16*IF(AL16*$I16&lt;=$L16,$J16,$I16)*
      IF($P16=1,
         $S16/12,
         IF(AL$4=1,
            $T16/12,
            IF(AL$4=$P16,
               $U16/12,
               1
      ))),0),
    ROUNDDOWN(
      AL16*IF(AL16*$I16&lt;=$L16,$J16,$I16)*
      IF($P16=1,
         $S16/12,
         IF(AL$4=1,
            $T16/12,
            IF(AL$4=$P16,
               $U16/12,
               1
      ))),0),
    ROUND(
      AL16*IF(AL16*$I16&lt;=$L16,$J16,$I16)*
      IF($P16=1,
         $S16/12,
         IF(AL$4=1,
            $T16/12,
            IF(AL$4=$P16,
               $U16/12,
               1
      ))),0)
))))</f>
        <v>-</v>
      </c>
      <c r="AN16" s="56" t="str">
        <f ca="1">IF($H16=リスト!$AA$4,"-",
   IF($C16="-","-",
     IF(AN$4&gt;$P16,"-",
       IF(AN$4=1,$E16,OFFSET(AN16,0,-2)-OFFSET(AN16,0,-1)
))))</f>
        <v>-</v>
      </c>
      <c r="AO16" s="57" t="str">
        <f>IF($H16=リスト!$AA$4,"-",
 IF($C16="-","-",
  IF(AN$4&gt;$P16,"-",
   CHOOSE(MATCH($H$3,リスト!$AE$3:$AE$5,0),
    ROUNDUP(
      AN16*IF(AN16*$I16&lt;=$L16,$J16,$I16)*
      IF($P16=1,
         $S16/12,
         IF(AN$4=1,
            $T16/12,
            IF(AN$4=$P16,
               $U16/12,
               1
      ))),0),
    ROUNDDOWN(
      AN16*IF(AN16*$I16&lt;=$L16,$J16,$I16)*
      IF($P16=1,
         $S16/12,
         IF(AN$4=1,
            $T16/12,
            IF(AN$4=$P16,
               $U16/12,
               1
      ))),0),
    ROUND(
      AN16*IF(AN16*$I16&lt;=$L16,$J16,$I16)*
      IF($P16=1,
         $S16/12,
         IF(AN$4=1,
            $T16/12,
            IF(AN$4=$P16,
               $U16/12,
               1
      ))),0)
))))</f>
        <v>-</v>
      </c>
      <c r="AP16" s="56" t="str">
        <f ca="1">IF($H16=リスト!$AA$4,"-",
   IF($C16="-","-",
     IF(AP$4&gt;$P16,"-",
       IF(AP$4=1,$E16,OFFSET(AP16,0,-2)-OFFSET(AP16,0,-1)
))))</f>
        <v>-</v>
      </c>
      <c r="AQ16" s="57" t="str">
        <f>IF($H16=リスト!$AA$4,"-",
 IF($C16="-","-",
  IF(AP$4&gt;$P16,"-",
   CHOOSE(MATCH($H$3,リスト!$AE$3:$AE$5,0),
    ROUNDUP(
      AP16*IF(AP16*$I16&lt;=$L16,$J16,$I16)*
      IF($P16=1,
         $S16/12,
         IF(AP$4=1,
            $T16/12,
            IF(AP$4=$P16,
               $U16/12,
               1
      ))),0),
    ROUNDDOWN(
      AP16*IF(AP16*$I16&lt;=$L16,$J16,$I16)*
      IF($P16=1,
         $S16/12,
         IF(AP$4=1,
            $T16/12,
            IF(AP$4=$P16,
               $U16/12,
               1
      ))),0),
    ROUND(
      AP16*IF(AP16*$I16&lt;=$L16,$J16,$I16)*
      IF($P16=1,
         $S16/12,
         IF(AP$4=1,
            $T16/12,
            IF(AP$4=$P16,
               $U16/12,
               1
      ))),0)
))))</f>
        <v>-</v>
      </c>
      <c r="AR16" s="56" t="str">
        <f ca="1">IF($H16=リスト!$AA$4,"-",
   IF($C16="-","-",
     IF(AR$4&gt;$P16,"-",
       IF(AR$4=1,$E16,OFFSET(AR16,0,-2)-OFFSET(AR16,0,-1)
))))</f>
        <v>-</v>
      </c>
      <c r="AS16" s="57" t="str">
        <f>IF($H16=リスト!$AA$4,"-",
 IF($C16="-","-",
  IF(AR$4&gt;$P16,"-",
   CHOOSE(MATCH($H$3,リスト!$AE$3:$AE$5,0),
    ROUNDUP(
      AR16*IF(AR16*$I16&lt;=$L16,$J16,$I16)*
      IF($P16=1,
         $S16/12,
         IF(AR$4=1,
            $T16/12,
            IF(AR$4=$P16,
               $U16/12,
               1
      ))),0),
    ROUNDDOWN(
      AR16*IF(AR16*$I16&lt;=$L16,$J16,$I16)*
      IF($P16=1,
         $S16/12,
         IF(AR$4=1,
            $T16/12,
            IF(AR$4=$P16,
               $U16/12,
               1
      ))),0),
    ROUND(
      AR16*IF(AR16*$I16&lt;=$L16,$J16,$I16)*
      IF($P16=1,
         $S16/12,
         IF(AR$4=1,
            $T16/12,
            IF(AR$4=$P16,
               $U16/12,
               1
      ))),0)
))))</f>
        <v>-</v>
      </c>
      <c r="AT16" s="56" t="str">
        <f ca="1">IF($H16=リスト!$AA$4,"-",
   IF($C16="-","-",
     IF(AT$4&gt;$P16,"-",
       IF(AT$4=1,$E16,OFFSET(AT16,0,-2)-OFFSET(AT16,0,-1)
))))</f>
        <v>-</v>
      </c>
      <c r="AU16" s="57" t="str">
        <f>IF($H16=リスト!$AA$4,"-",
 IF($C16="-","-",
  IF(AT$4&gt;$P16,"-",
   CHOOSE(MATCH($H$3,リスト!$AE$3:$AE$5,0),
    ROUNDUP(
      AT16*IF(AT16*$I16&lt;=$L16,$J16,$I16)*
      IF($P16=1,
         $S16/12,
         IF(AT$4=1,
            $T16/12,
            IF(AT$4=$P16,
               $U16/12,
               1
      ))),0),
    ROUNDDOWN(
      AT16*IF(AT16*$I16&lt;=$L16,$J16,$I16)*
      IF($P16=1,
         $S16/12,
         IF(AT$4=1,
            $T16/12,
            IF(AT$4=$P16,
               $U16/12,
               1
      ))),0),
    ROUND(
      AT16*IF(AT16*$I16&lt;=$L16,$J16,$I16)*
      IF($P16=1,
         $S16/12,
         IF(AT$4=1,
            $T16/12,
            IF(AT$4=$P16,
               $U16/12,
               1
      ))),0)
))))</f>
        <v>-</v>
      </c>
      <c r="AV16" s="56" t="str">
        <f ca="1">IF($H16=リスト!$AA$4,"-",
   IF($C16="-","-",
     IF(AV$4&gt;$P16,"-",
       IF(AV$4=1,$E16,OFFSET(AV16,0,-2)-OFFSET(AV16,0,-1)
))))</f>
        <v>-</v>
      </c>
      <c r="AW16" s="57" t="str">
        <f>IF($H16=リスト!$AA$4,"-",
 IF($C16="-","-",
  IF(AV$4&gt;$P16,"-",
   CHOOSE(MATCH($H$3,リスト!$AE$3:$AE$5,0),
    ROUNDUP(
      AV16*IF(AV16*$I16&lt;=$L16,$J16,$I16)*
      IF($P16=1,
         $S16/12,
         IF(AV$4=1,
            $T16/12,
            IF(AV$4=$P16,
               $U16/12,
               1
      ))),0),
    ROUNDDOWN(
      AV16*IF(AV16*$I16&lt;=$L16,$J16,$I16)*
      IF($P16=1,
         $S16/12,
         IF(AV$4=1,
            $T16/12,
            IF(AV$4=$P16,
               $U16/12,
               1
      ))),0),
    ROUND(
      AV16*IF(AV16*$I16&lt;=$L16,$J16,$I16)*
      IF($P16=1,
         $S16/12,
         IF(AV$4=1,
            $T16/12,
            IF(AV$4=$P16,
               $U16/12,
               1
      ))),0)
))))</f>
        <v>-</v>
      </c>
      <c r="AX16" s="56" t="str">
        <f ca="1">IF($H16=リスト!$AA$4,"-",
   IF($C16="-","-",
     IF(AX$4&gt;$P16,"-",
       IF(AX$4=1,$E16,OFFSET(AX16,0,-2)-OFFSET(AX16,0,-1)
))))</f>
        <v>-</v>
      </c>
      <c r="AY16" s="57" t="str">
        <f>IF($H16=リスト!$AA$4,"-",
 IF($C16="-","-",
  IF(AX$4&gt;$P16,"-",
   CHOOSE(MATCH($H$3,リスト!$AE$3:$AE$5,0),
    ROUNDUP(
      AX16*IF(AX16*$I16&lt;=$L16,$J16,$I16)*
      IF($P16=1,
         $S16/12,
         IF(AX$4=1,
            $T16/12,
            IF(AX$4=$P16,
               $U16/12,
               1
      ))),0),
    ROUNDDOWN(
      AX16*IF(AX16*$I16&lt;=$L16,$J16,$I16)*
      IF($P16=1,
         $S16/12,
         IF(AX$4=1,
            $T16/12,
            IF(AX$4=$P16,
               $U16/12,
               1
      ))),0),
    ROUND(
      AX16*IF(AX16*$I16&lt;=$L16,$J16,$I16)*
      IF($P16=1,
         $S16/12,
         IF(AX$4=1,
            $T16/12,
            IF(AX$4=$P16,
               $U16/12,
               1
      ))),0)
))))</f>
        <v>-</v>
      </c>
      <c r="AZ16" s="56" t="str">
        <f ca="1">IF($H16=リスト!$AA$4,"-",
   IF($C16="-","-",
     IF(AZ$4&gt;$P16,"-",
       IF(AZ$4=1,$E16,OFFSET(AZ16,0,-2)-OFFSET(AZ16,0,-1)
))))</f>
        <v>-</v>
      </c>
      <c r="BA16" s="57" t="str">
        <f>IF($H16=リスト!$AA$4,"-",
 IF($C16="-","-",
  IF(AZ$4&gt;$P16,"-",
   CHOOSE(MATCH($H$3,リスト!$AE$3:$AE$5,0),
    ROUNDUP(
      AZ16*IF(AZ16*$I16&lt;=$L16,$J16,$I16)*
      IF($P16=1,
         $S16/12,
         IF(AZ$4=1,
            $T16/12,
            IF(AZ$4=$P16,
               $U16/12,
               1
      ))),0),
    ROUNDDOWN(
      AZ16*IF(AZ16*$I16&lt;=$L16,$J16,$I16)*
      IF($P16=1,
         $S16/12,
         IF(AZ$4=1,
            $T16/12,
            IF(AZ$4=$P16,
               $U16/12,
               1
      ))),0),
    ROUND(
      AZ16*IF(AZ16*$I16&lt;=$L16,$J16,$I16)*
      IF($P16=1,
         $S16/12,
         IF(AZ$4=1,
            $T16/12,
            IF(AZ$4=$P16,
               $U16/12,
               1
      ))),0)
))))</f>
        <v>-</v>
      </c>
      <c r="BB16" s="56" t="str">
        <f ca="1">IF($H16=リスト!$AA$4,"-",
   IF($C16="-","-",
     IF(BB$4&gt;$P16,"-",
       IF(BB$4=1,$E16,OFFSET(BB16,0,-2)-OFFSET(BB16,0,-1)
))))</f>
        <v>-</v>
      </c>
      <c r="BC16" s="57" t="str">
        <f>IF($H16=リスト!$AA$4,"-",
 IF($C16="-","-",
  IF(BB$4&gt;$P16,"-",
   CHOOSE(MATCH($H$3,リスト!$AE$3:$AE$5,0),
    ROUNDUP(
      BB16*IF(BB16*$I16&lt;=$L16,$J16,$I16)*
      IF($P16=1,
         $S16/12,
         IF(BB$4=1,
            $T16/12,
            IF(BB$4=$P16,
               $U16/12,
               1
      ))),0),
    ROUNDDOWN(
      BB16*IF(BB16*$I16&lt;=$L16,$J16,$I16)*
      IF($P16=1,
         $S16/12,
         IF(BB$4=1,
            $T16/12,
            IF(BB$4=$P16,
               $U16/12,
               1
      ))),0),
    ROUND(
      BB16*IF(BB16*$I16&lt;=$L16,$J16,$I16)*
      IF($P16=1,
         $S16/12,
         IF(BB$4=1,
            $T16/12,
            IF(BB$4=$P16,
               $U16/12,
               1
      ))),0)
))))</f>
        <v>-</v>
      </c>
      <c r="BD16" s="56" t="str">
        <f ca="1">IF($H16=リスト!$AA$4,"-",
   IF($C16="-","-",
     IF(BD$4&gt;$P16,"-",
       IF(BD$4=1,$E16,OFFSET(BD16,0,-2)-OFFSET(BD16,0,-1)
))))</f>
        <v>-</v>
      </c>
      <c r="BE16" s="57" t="str">
        <f>IF($H16=リスト!$AA$4,"-",
 IF($C16="-","-",
  IF(BD$4&gt;$P16,"-",
   CHOOSE(MATCH($H$3,リスト!$AE$3:$AE$5,0),
    ROUNDUP(
      BD16*IF(BD16*$I16&lt;=$L16,$J16,$I16)*
      IF($P16=1,
         $S16/12,
         IF(BD$4=1,
            $T16/12,
            IF(BD$4=$P16,
               $U16/12,
               1
      ))),0),
    ROUNDDOWN(
      BD16*IF(BD16*$I16&lt;=$L16,$J16,$I16)*
      IF($P16=1,
         $S16/12,
         IF(BD$4=1,
            $T16/12,
            IF(BD$4=$P16,
               $U16/12,
               1
      ))),0),
    ROUND(
      BD16*IF(BD16*$I16&lt;=$L16,$J16,$I16)*
      IF($P16=1,
         $S16/12,
         IF(BD$4=1,
            $T16/12,
            IF(BD$4=$P16,
               $U16/12,
               1
      ))),0)
))))</f>
        <v>-</v>
      </c>
      <c r="BF16" s="56" t="str">
        <f ca="1">IF($H16=リスト!$AA$4,"-",
   IF($C16="-","-",
     IF(BF$4&gt;$P16,"-",
       IF(BF$4=1,$E16,OFFSET(BF16,0,-2)-OFFSET(BF16,0,-1)
))))</f>
        <v>-</v>
      </c>
      <c r="BG16" s="57" t="str">
        <f>IF($H16=リスト!$AA$4,"-",
 IF($C16="-","-",
  IF(BF$4&gt;$P16,"-",
   CHOOSE(MATCH($H$3,リスト!$AE$3:$AE$5,0),
    ROUNDUP(
      BF16*IF(BF16*$I16&lt;=$L16,$J16,$I16)*
      IF($P16=1,
         $S16/12,
         IF(BF$4=1,
            $T16/12,
            IF(BF$4=$P16,
               $U16/12,
               1
      ))),0),
    ROUNDDOWN(
      BF16*IF(BF16*$I16&lt;=$L16,$J16,$I16)*
      IF($P16=1,
         $S16/12,
         IF(BF$4=1,
            $T16/12,
            IF(BF$4=$P16,
               $U16/12,
               1
      ))),0),
    ROUND(
      BF16*IF(BF16*$I16&lt;=$L16,$J16,$I16)*
      IF($P16=1,
         $S16/12,
         IF(BF$4=1,
            $T16/12,
            IF(BF$4=$P16,
               $U16/12,
               1
      ))),0)
))))</f>
        <v>-</v>
      </c>
      <c r="BH16" s="56" t="str">
        <f ca="1">IF($H16=リスト!$AA$4,"-",
   IF($C16="-","-",
     IF(BH$4&gt;$P16,"-",
       IF(BH$4=1,$E16,OFFSET(BH16,0,-2)-OFFSET(BH16,0,-1)
))))</f>
        <v>-</v>
      </c>
      <c r="BI16" s="57" t="str">
        <f>IF($H16=リスト!$AA$4,"-",
 IF($C16="-","-",
  IF(BH$4&gt;$P16,"-",
   CHOOSE(MATCH($H$3,リスト!$AE$3:$AE$5,0),
    ROUNDUP(
      BH16*IF(BH16*$I16&lt;=$L16,$J16,$I16)*
      IF($P16=1,
         $S16/12,
         IF(BH$4=1,
            $T16/12,
            IF(BH$4=$P16,
               $U16/12,
               1
      ))),0),
    ROUNDDOWN(
      BH16*IF(BH16*$I16&lt;=$L16,$J16,$I16)*
      IF($P16=1,
         $S16/12,
         IF(BH$4=1,
            $T16/12,
            IF(BH$4=$P16,
               $U16/12,
               1
      ))),0),
    ROUND(
      BH16*IF(BH16*$I16&lt;=$L16,$J16,$I16)*
      IF($P16=1,
         $S16/12,
         IF(BH$4=1,
            $T16/12,
            IF(BH$4=$P16,
               $U16/12,
               1
      ))),0)
))))</f>
        <v>-</v>
      </c>
      <c r="BJ16" s="56" t="str">
        <f ca="1">IF($H16=リスト!$AA$4,"-",
   IF($C16="-","-",
     IF(BJ$4&gt;$P16,"-",
       IF(BJ$4=1,$E16,OFFSET(BJ16,0,-2)-OFFSET(BJ16,0,-1)
))))</f>
        <v>-</v>
      </c>
      <c r="BK16" s="57" t="str">
        <f>IF($H16=リスト!$AA$4,"-",
 IF($C16="-","-",
  IF(BJ$4&gt;$P16,"-",
   CHOOSE(MATCH($H$3,リスト!$AE$3:$AE$5,0),
    ROUNDUP(
      BJ16*IF(BJ16*$I16&lt;=$L16,$J16,$I16)*
      IF($P16=1,
         $S16/12,
         IF(BJ$4=1,
            $T16/12,
            IF(BJ$4=$P16,
               $U16/12,
               1
      ))),0),
    ROUNDDOWN(
      BJ16*IF(BJ16*$I16&lt;=$L16,$J16,$I16)*
      IF($P16=1,
         $S16/12,
         IF(BJ$4=1,
            $T16/12,
            IF(BJ$4=$P16,
               $U16/12,
               1
      ))),0),
    ROUND(
      BJ16*IF(BJ16*$I16&lt;=$L16,$J16,$I16)*
      IF($P16=1,
         $S16/12,
         IF(BJ$4=1,
            $T16/12,
            IF(BJ$4=$P16,
               $U16/12,
               1
      ))),0)
))))</f>
        <v>-</v>
      </c>
      <c r="BL16" s="56" t="str">
        <f ca="1">IF($H16=リスト!$AA$4,"-",
   IF($C16="-","-",
     IF(BL$4&gt;$P16,"-",
       IF(BL$4=1,$E16,OFFSET(BL16,0,-2)-OFFSET(BL16,0,-1)
))))</f>
        <v>-</v>
      </c>
      <c r="BM16" s="57" t="str">
        <f>IF($H16=リスト!$AA$4,"-",
 IF($C16="-","-",
  IF(BL$4&gt;$P16,"-",
   CHOOSE(MATCH($H$3,リスト!$AE$3:$AE$5,0),
    ROUNDUP(
      BL16*IF(BL16*$I16&lt;=$L16,$J16,$I16)*
      IF($P16=1,
         $S16/12,
         IF(BL$4=1,
            $T16/12,
            IF(BL$4=$P16,
               $U16/12,
               1
      ))),0),
    ROUNDDOWN(
      BL16*IF(BL16*$I16&lt;=$L16,$J16,$I16)*
      IF($P16=1,
         $S16/12,
         IF(BL$4=1,
            $T16/12,
            IF(BL$4=$P16,
               $U16/12,
               1
      ))),0),
    ROUND(
      BL16*IF(BL16*$I16&lt;=$L16,$J16,$I16)*
      IF($P16=1,
         $S16/12,
         IF(BL$4=1,
            $T16/12,
            IF(BL$4=$P16,
               $U16/12,
               1
      ))),0)
))))</f>
        <v>-</v>
      </c>
      <c r="BN16" s="56" t="str">
        <f ca="1">IF($H16=リスト!$AA$4,"-",
   IF($C16="-","-",
     IF(BN$4&gt;$P16,"-",
       IF(BN$4=1,$E16,OFFSET(BN16,0,-2)-OFFSET(BN16,0,-1)
))))</f>
        <v>-</v>
      </c>
      <c r="BO16" s="57" t="str">
        <f>IF($H16=リスト!$AA$4,"-",
 IF($C16="-","-",
  IF(BN$4&gt;$P16,"-",
   CHOOSE(MATCH($H$3,リスト!$AE$3:$AE$5,0),
    ROUNDUP(
      BN16*IF(BN16*$I16&lt;=$L16,$J16,$I16)*
      IF($P16=1,
         $S16/12,
         IF(BN$4=1,
            $T16/12,
            IF(BN$4=$P16,
               $U16/12,
               1
      ))),0),
    ROUNDDOWN(
      BN16*IF(BN16*$I16&lt;=$L16,$J16,$I16)*
      IF($P16=1,
         $S16/12,
         IF(BN$4=1,
            $T16/12,
            IF(BN$4=$P16,
               $U16/12,
               1
      ))),0),
    ROUND(
      BN16*IF(BN16*$I16&lt;=$L16,$J16,$I16)*
      IF($P16=1,
         $S16/12,
         IF(BN$4=1,
            $T16/12,
            IF(BN$4=$P16,
               $U16/12,
               1
      ))),0)
))))</f>
        <v>-</v>
      </c>
      <c r="BP16" s="56" t="str">
        <f ca="1">IF($H16=リスト!$AA$4,"-",
   IF($C16="-","-",
     IF(BP$4&gt;$P16,"-",
       IF(BP$4=1,$E16,OFFSET(BP16,0,-2)-OFFSET(BP16,0,-1)
))))</f>
        <v>-</v>
      </c>
      <c r="BQ16" s="57" t="str">
        <f>IF($H16=リスト!$AA$4,"-",
 IF($C16="-","-",
  IF(BP$4&gt;$P16,"-",
   CHOOSE(MATCH($H$3,リスト!$AE$3:$AE$5,0),
    ROUNDUP(
      BP16*IF(BP16*$I16&lt;=$L16,$J16,$I16)*
      IF($P16=1,
         $S16/12,
         IF(BP$4=1,
            $T16/12,
            IF(BP$4=$P16,
               $U16/12,
               1
      ))),0),
    ROUNDDOWN(
      BP16*IF(BP16*$I16&lt;=$L16,$J16,$I16)*
      IF($P16=1,
         $S16/12,
         IF(BP$4=1,
            $T16/12,
            IF(BP$4=$P16,
               $U16/12,
               1
      ))),0),
    ROUND(
      BP16*IF(BP16*$I16&lt;=$L16,$J16,$I16)*
      IF($P16=1,
         $S16/12,
         IF(BP$4=1,
            $T16/12,
            IF(BP$4=$P16,
               $U16/12,
               1
      ))),0)
))))</f>
        <v>-</v>
      </c>
      <c r="BR16" s="56" t="str">
        <f ca="1">IF($H16=リスト!$AA$4,"-",
   IF($C16="-","-",
     IF(BR$4&gt;$P16,"-",
       IF(BR$4=1,$E16,OFFSET(BR16,0,-2)-OFFSET(BR16,0,-1)
))))</f>
        <v>-</v>
      </c>
      <c r="BS16" s="57" t="str">
        <f>IF($H16=リスト!$AA$4,"-",
 IF($C16="-","-",
  IF(BR$4&gt;$P16,"-",
   CHOOSE(MATCH($H$3,リスト!$AE$3:$AE$5,0),
    ROUNDUP(
      BR16*IF(BR16*$I16&lt;=$L16,$J16,$I16)*
      IF($P16=1,
         $S16/12,
         IF(BR$4=1,
            $T16/12,
            IF(BR$4=$P16,
               $U16/12,
               1
      ))),0),
    ROUNDDOWN(
      BR16*IF(BR16*$I16&lt;=$L16,$J16,$I16)*
      IF($P16=1,
         $S16/12,
         IF(BR$4=1,
            $T16/12,
            IF(BR$4=$P16,
               $U16/12,
               1
      ))),0),
    ROUND(
      BR16*IF(BR16*$I16&lt;=$L16,$J16,$I16)*
      IF($P16=1,
         $S16/12,
         IF(BR$4=1,
            $T16/12,
            IF(BR$4=$P16,
               $U16/12,
               1
      ))),0)
))))</f>
        <v>-</v>
      </c>
      <c r="BT16" s="56" t="str">
        <f ca="1">IF($H16=リスト!$AA$4,"-",
   IF($C16="-","-",
     IF(BT$4&gt;$P16,"-",
       IF(BT$4=1,$E16,OFFSET(BT16,0,-2)-OFFSET(BT16,0,-1)
))))</f>
        <v>-</v>
      </c>
      <c r="BU16" s="57" t="str">
        <f>IF($H16=リスト!$AA$4,"-",
 IF($C16="-","-",
  IF(BT$4&gt;$P16,"-",
   CHOOSE(MATCH($H$3,リスト!$AE$3:$AE$5,0),
    ROUNDUP(
      BT16*IF(BT16*$I16&lt;=$L16,$J16,$I16)*
      IF($P16=1,
         $S16/12,
         IF(BT$4=1,
            $T16/12,
            IF(BT$4=$P16,
               $U16/12,
               1
      ))),0),
    ROUNDDOWN(
      BT16*IF(BT16*$I16&lt;=$L16,$J16,$I16)*
      IF($P16=1,
         $S16/12,
         IF(BT$4=1,
            $T16/12,
            IF(BT$4=$P16,
               $U16/12,
               1
      ))),0),
    ROUND(
      BT16*IF(BT16*$I16&lt;=$L16,$J16,$I16)*
      IF($P16=1,
         $S16/12,
         IF(BT$4=1,
            $T16/12,
            IF(BT$4=$P16,
               $U16/12,
               1
      ))),0)
))))</f>
        <v>-</v>
      </c>
      <c r="BV16" s="56" t="str">
        <f ca="1">IF($H16=リスト!$AA$4,"-",
   IF($C16="-","-",
     IF(BV$4&gt;$P16,"-",
       IF(BV$4=1,$E16,OFFSET(BV16,0,-2)-OFFSET(BV16,0,-1)
))))</f>
        <v>-</v>
      </c>
      <c r="BW16" s="57" t="str">
        <f>IF($H16=リスト!$AA$4,"-",
 IF($C16="-","-",
  IF(BV$4&gt;$P16,"-",
   CHOOSE(MATCH($H$3,リスト!$AE$3:$AE$5,0),
    ROUNDUP(
      BV16*IF(BV16*$I16&lt;=$L16,$J16,$I16)*
      IF($P16=1,
         $S16/12,
         IF(BV$4=1,
            $T16/12,
            IF(BV$4=$P16,
               $U16/12,
               1
      ))),0),
    ROUNDDOWN(
      BV16*IF(BV16*$I16&lt;=$L16,$J16,$I16)*
      IF($P16=1,
         $S16/12,
         IF(BV$4=1,
            $T16/12,
            IF(BV$4=$P16,
               $U16/12,
               1
      ))),0),
    ROUND(
      BV16*IF(BV16*$I16&lt;=$L16,$J16,$I16)*
      IF($P16=1,
         $S16/12,
         IF(BV$4=1,
            $T16/12,
            IF(BV$4=$P16,
               $U16/12,
               1
      ))),0)
))))</f>
        <v>-</v>
      </c>
      <c r="BX16" s="56" t="str">
        <f ca="1">IF($H16=リスト!$AA$4,"-",
   IF($C16="-","-",
     IF(BX$4&gt;$P16,"-",
       IF(BX$4=1,$E16,OFFSET(BX16,0,-2)-OFFSET(BX16,0,-1)
))))</f>
        <v>-</v>
      </c>
      <c r="BY16" s="57" t="str">
        <f>IF($H16=リスト!$AA$4,"-",
 IF($C16="-","-",
  IF(BX$4&gt;$P16,"-",
   CHOOSE(MATCH($H$3,リスト!$AE$3:$AE$5,0),
    ROUNDUP(
      BX16*IF(BX16*$I16&lt;=$L16,$J16,$I16)*
      IF($P16=1,
         $S16/12,
         IF(BX$4=1,
            $T16/12,
            IF(BX$4=$P16,
               $U16/12,
               1
      ))),0),
    ROUNDDOWN(
      BX16*IF(BX16*$I16&lt;=$L16,$J16,$I16)*
      IF($P16=1,
         $S16/12,
         IF(BX$4=1,
            $T16/12,
            IF(BX$4=$P16,
               $U16/12,
               1
      ))),0),
    ROUND(
      BX16*IF(BX16*$I16&lt;=$L16,$J16,$I16)*
      IF($P16=1,
         $S16/12,
         IF(BX$4=1,
            $T16/12,
            IF(BX$4=$P16,
               $U16/12,
               1
      ))),0)
))))</f>
        <v>-</v>
      </c>
      <c r="BZ16" s="56" t="str">
        <f ca="1">IF($H16=リスト!$AA$4,"-",
   IF($C16="-","-",
     IF(BZ$4&gt;$P16,"-",
       IF(BZ$4=1,$E16,OFFSET(BZ16,0,-2)-OFFSET(BZ16,0,-1)
))))</f>
        <v>-</v>
      </c>
      <c r="CA16" s="57" t="str">
        <f>IF($H16=リスト!$AA$4,"-",
 IF($C16="-","-",
  IF(BZ$4&gt;$P16,"-",
   CHOOSE(MATCH($H$3,リスト!$AE$3:$AE$5,0),
    ROUNDUP(
      BZ16*IF(BZ16*$I16&lt;=$L16,$J16,$I16)*
      IF($P16=1,
         $S16/12,
         IF(BZ$4=1,
            $T16/12,
            IF(BZ$4=$P16,
               $U16/12,
               1
      ))),0),
    ROUNDDOWN(
      BZ16*IF(BZ16*$I16&lt;=$L16,$J16,$I16)*
      IF($P16=1,
         $S16/12,
         IF(BZ$4=1,
            $T16/12,
            IF(BZ$4=$P16,
               $U16/12,
               1
      ))),0),
    ROUND(
      BZ16*IF(BZ16*$I16&lt;=$L16,$J16,$I16)*
      IF($P16=1,
         $S16/12,
         IF(BZ$4=1,
            $T16/12,
            IF(BZ$4=$P16,
               $U16/12,
               1
      ))),0)
))))</f>
        <v>-</v>
      </c>
      <c r="CB16" s="56" t="str">
        <f ca="1">IF($H16=リスト!$AA$4,"-",
   IF($C16="-","-",
     IF(CB$4&gt;$P16,"-",
       IF(CB$4=1,$E16,OFFSET(CB16,0,-2)-OFFSET(CB16,0,-1)
))))</f>
        <v>-</v>
      </c>
      <c r="CC16" s="57" t="str">
        <f>IF($H16=リスト!$AA$4,"-",
 IF($C16="-","-",
  IF(CB$4&gt;$P16,"-",
   CHOOSE(MATCH($H$3,リスト!$AE$3:$AE$5,0),
    ROUNDUP(
      CB16*IF(CB16*$I16&lt;=$L16,$J16,$I16)*
      IF($P16=1,
         $S16/12,
         IF(CB$4=1,
            $T16/12,
            IF(CB$4=$P16,
               $U16/12,
               1
      ))),0),
    ROUNDDOWN(
      CB16*IF(CB16*$I16&lt;=$L16,$J16,$I16)*
      IF($P16=1,
         $S16/12,
         IF(CB$4=1,
            $T16/12,
            IF(CB$4=$P16,
               $U16/12,
               1
      ))),0),
    ROUND(
      CB16*IF(CB16*$I16&lt;=$L16,$J16,$I16)*
      IF($P16=1,
         $S16/12,
         IF(CB$4=1,
            $T16/12,
            IF(CB$4=$P16,
               $U16/12,
               1
      ))),0)
))))</f>
        <v>-</v>
      </c>
      <c r="CD16" s="56" t="str">
        <f ca="1">IF($H16=リスト!$AA$4,"-",
   IF($C16="-","-",
     IF(CD$4&gt;$P16,"-",
       IF(CD$4=1,$E16,OFFSET(CD16,0,-2)-OFFSET(CD16,0,-1)
))))</f>
        <v>-</v>
      </c>
      <c r="CE16" s="57" t="str">
        <f>IF($H16=リスト!$AA$4,"-",
 IF($C16="-","-",
  IF(CD$4&gt;$P16,"-",
   CHOOSE(MATCH($H$3,リスト!$AE$3:$AE$5,0),
    ROUNDUP(
      CD16*IF(CD16*$I16&lt;=$L16,$J16,$I16)*
      IF($P16=1,
         $S16/12,
         IF(CD$4=1,
            $T16/12,
            IF(CD$4=$P16,
               $U16/12,
               1
      ))),0),
    ROUNDDOWN(
      CD16*IF(CD16*$I16&lt;=$L16,$J16,$I16)*
      IF($P16=1,
         $S16/12,
         IF(CD$4=1,
            $T16/12,
            IF(CD$4=$P16,
               $U16/12,
               1
      ))),0),
    ROUND(
      CD16*IF(CD16*$I16&lt;=$L16,$J16,$I16)*
      IF($P16=1,
         $S16/12,
         IF(CD$4=1,
            $T16/12,
            IF(CD$4=$P16,
               $U16/12,
               1
      ))),0)
))))</f>
        <v>-</v>
      </c>
      <c r="CF16" s="56" t="str">
        <f ca="1">IF($H16=リスト!$AA$4,"-",
   IF($C16="-","-",
     IF(CF$4&gt;$P16,"-",
       IF(CF$4=1,$E16,OFFSET(CF16,0,-2)-OFFSET(CF16,0,-1)
))))</f>
        <v>-</v>
      </c>
      <c r="CG16" s="57" t="str">
        <f>IF($H16=リスト!$AA$4,"-",
 IF($C16="-","-",
  IF(CF$4&gt;$P16,"-",
   CHOOSE(MATCH($H$3,リスト!$AE$3:$AE$5,0),
    ROUNDUP(
      CF16*IF(CF16*$I16&lt;=$L16,$J16,$I16)*
      IF($P16=1,
         $S16/12,
         IF(CF$4=1,
            $T16/12,
            IF(CF$4=$P16,
               $U16/12,
               1
      ))),0),
    ROUNDDOWN(
      CF16*IF(CF16*$I16&lt;=$L16,$J16,$I16)*
      IF($P16=1,
         $S16/12,
         IF(CF$4=1,
            $T16/12,
            IF(CF$4=$P16,
               $U16/12,
               1
      ))),0),
    ROUND(
      CF16*IF(CF16*$I16&lt;=$L16,$J16,$I16)*
      IF($P16=1,
         $S16/12,
         IF(CF$4=1,
            $T16/12,
            IF(CF$4=$P16,
               $U16/12,
               1
      ))),0)
))))</f>
        <v>-</v>
      </c>
      <c r="CH16" s="56" t="str">
        <f ca="1">IF($H16=リスト!$AA$4,"-",
   IF($C16="-","-",
     IF(CH$4&gt;$P16,"-",
       IF(CH$4=1,$E16,OFFSET(CH16,0,-2)-OFFSET(CH16,0,-1)
))))</f>
        <v>-</v>
      </c>
      <c r="CI16" s="57" t="str">
        <f>IF($H16=リスト!$AA$4,"-",
 IF($C16="-","-",
  IF(CH$4&gt;$P16,"-",
   CHOOSE(MATCH($H$3,リスト!$AE$3:$AE$5,0),
    ROUNDUP(
      CH16*IF(CH16*$I16&lt;=$L16,$J16,$I16)*
      IF($P16=1,
         $S16/12,
         IF(CH$4=1,
            $T16/12,
            IF(CH$4=$P16,
               $U16/12,
               1
      ))),0),
    ROUNDDOWN(
      CH16*IF(CH16*$I16&lt;=$L16,$J16,$I16)*
      IF($P16=1,
         $S16/12,
         IF(CH$4=1,
            $T16/12,
            IF(CH$4=$P16,
               $U16/12,
               1
      ))),0),
    ROUND(
      CH16*IF(CH16*$I16&lt;=$L16,$J16,$I16)*
      IF($P16=1,
         $S16/12,
         IF(CH$4=1,
            $T16/12,
            IF(CH$4=$P16,
               $U16/12,
               1
      ))),0)
))))</f>
        <v>-</v>
      </c>
      <c r="CJ16" s="56" t="str">
        <f ca="1">IF($H16=リスト!$AA$4,"-",
   IF($C16="-","-",
     IF(CJ$4&gt;$P16,"-",
       IF(CJ$4=1,$E16,OFFSET(CJ16,0,-2)-OFFSET(CJ16,0,-1)
))))</f>
        <v>-</v>
      </c>
      <c r="CK16" s="57" t="str">
        <f>IF($H16=リスト!$AA$4,"-",
 IF($C16="-","-",
  IF(CJ$4&gt;$P16,"-",
   CHOOSE(MATCH($H$3,リスト!$AE$3:$AE$5,0),
    ROUNDUP(
      CJ16*IF(CJ16*$I16&lt;=$L16,$J16,$I16)*
      IF($P16=1,
         $S16/12,
         IF(CJ$4=1,
            $T16/12,
            IF(CJ$4=$P16,
               $U16/12,
               1
      ))),0),
    ROUNDDOWN(
      CJ16*IF(CJ16*$I16&lt;=$L16,$J16,$I16)*
      IF($P16=1,
         $S16/12,
         IF(CJ$4=1,
            $T16/12,
            IF(CJ$4=$P16,
               $U16/12,
               1
      ))),0),
    ROUND(
      CJ16*IF(CJ16*$I16&lt;=$L16,$J16,$I16)*
      IF($P16=1,
         $S16/12,
         IF(CJ$4=1,
            $T16/12,
            IF(CJ$4=$P16,
               $U16/12,
               1
      ))),0)
))))</f>
        <v>-</v>
      </c>
      <c r="CL16" s="56" t="str">
        <f ca="1">IF($H16=リスト!$AA$4,"-",
   IF($C16="-","-",
     IF(CL$4&gt;$P16,"-",
       IF(CL$4=1,$E16,OFFSET(CL16,0,-2)-OFFSET(CL16,0,-1)
))))</f>
        <v>-</v>
      </c>
      <c r="CM16" s="57" t="str">
        <f>IF($H16=リスト!$AA$4,"-",
 IF($C16="-","-",
  IF(CL$4&gt;$P16,"-",
   CHOOSE(MATCH($H$3,リスト!$AE$3:$AE$5,0),
    ROUNDUP(
      CL16*IF(CL16*$I16&lt;=$L16,$J16,$I16)*
      IF($P16=1,
         $S16/12,
         IF(CL$4=1,
            $T16/12,
            IF(CL$4=$P16,
               $U16/12,
               1
      ))),0),
    ROUNDDOWN(
      CL16*IF(CL16*$I16&lt;=$L16,$J16,$I16)*
      IF($P16=1,
         $S16/12,
         IF(CL$4=1,
            $T16/12,
            IF(CL$4=$P16,
               $U16/12,
               1
      ))),0),
    ROUND(
      CL16*IF(CL16*$I16&lt;=$L16,$J16,$I16)*
      IF($P16=1,
         $S16/12,
         IF(CL$4=1,
            $T16/12,
            IF(CL$4=$P16,
               $U16/12,
               1
      ))),0)
))))</f>
        <v>-</v>
      </c>
      <c r="CN16" s="56" t="str">
        <f ca="1">IF($H16=リスト!$AA$4,"-",
   IF($C16="-","-",
     IF(CN$4&gt;$P16,"-",
       IF(CN$4=1,$E16,OFFSET(CN16,0,-2)-OFFSET(CN16,0,-1)
))))</f>
        <v>-</v>
      </c>
      <c r="CO16" s="57" t="str">
        <f>IF($H16=リスト!$AA$4,"-",
 IF($C16="-","-",
  IF(CN$4&gt;$P16,"-",
   CHOOSE(MATCH($H$3,リスト!$AE$3:$AE$5,0),
    ROUNDUP(
      CN16*IF(CN16*$I16&lt;=$L16,$J16,$I16)*
      IF($P16=1,
         $S16/12,
         IF(CN$4=1,
            $T16/12,
            IF(CN$4=$P16,
               $U16/12,
               1
      ))),0),
    ROUNDDOWN(
      CN16*IF(CN16*$I16&lt;=$L16,$J16,$I16)*
      IF($P16=1,
         $S16/12,
         IF(CN$4=1,
            $T16/12,
            IF(CN$4=$P16,
               $U16/12,
               1
      ))),0),
    ROUND(
      CN16*IF(CN16*$I16&lt;=$L16,$J16,$I16)*
      IF($P16=1,
         $S16/12,
         IF(CN$4=1,
            $T16/12,
            IF(CN$4=$P16,
               $U16/12,
               1
      ))),0)
))))</f>
        <v>-</v>
      </c>
      <c r="CP16" s="56" t="str">
        <f ca="1">IF($H16=リスト!$AA$4,"-",
   IF($C16="-","-",
     IF(CP$4&gt;$P16,"-",
       IF(CP$4=1,$E16,OFFSET(CP16,0,-2)-OFFSET(CP16,0,-1)
))))</f>
        <v>-</v>
      </c>
      <c r="CQ16" s="57" t="str">
        <f>IF($H16=リスト!$AA$4,"-",
 IF($C16="-","-",
  IF(CP$4&gt;$P16,"-",
   CHOOSE(MATCH($H$3,リスト!$AE$3:$AE$5,0),
    ROUNDUP(
      CP16*IF(CP16*$I16&lt;=$L16,$J16,$I16)*
      IF($P16=1,
         $S16/12,
         IF(CP$4=1,
            $T16/12,
            IF(CP$4=$P16,
               $U16/12,
               1
      ))),0),
    ROUNDDOWN(
      CP16*IF(CP16*$I16&lt;=$L16,$J16,$I16)*
      IF($P16=1,
         $S16/12,
         IF(CP$4=1,
            $T16/12,
            IF(CP$4=$P16,
               $U16/12,
               1
      ))),0),
    ROUND(
      CP16*IF(CP16*$I16&lt;=$L16,$J16,$I16)*
      IF($P16=1,
         $S16/12,
         IF(CP$4=1,
            $T16/12,
            IF(CP$4=$P16,
               $U16/12,
               1
      ))),0)
))))</f>
        <v>-</v>
      </c>
      <c r="CR16" s="56" t="str">
        <f ca="1">IF($H16=リスト!$AA$4,"-",
   IF($C16="-","-",
     IF(CR$4&gt;$P16,"-",
       IF(CR$4=1,$E16,OFFSET(CR16,0,-2)-OFFSET(CR16,0,-1)
))))</f>
        <v>-</v>
      </c>
      <c r="CS16" s="57" t="str">
        <f>IF($H16=リスト!$AA$4,"-",
 IF($C16="-","-",
  IF(CR$4&gt;$P16,"-",
   CHOOSE(MATCH($H$3,リスト!$AE$3:$AE$5,0),
    ROUNDUP(
      CR16*IF(CR16*$I16&lt;=$L16,$J16,$I16)*
      IF($P16=1,
         $S16/12,
         IF(CR$4=1,
            $T16/12,
            IF(CR$4=$P16,
               $U16/12,
               1
      ))),0),
    ROUNDDOWN(
      CR16*IF(CR16*$I16&lt;=$L16,$J16,$I16)*
      IF($P16=1,
         $S16/12,
         IF(CR$4=1,
            $T16/12,
            IF(CR$4=$P16,
               $U16/12,
               1
      ))),0),
    ROUND(
      CR16*IF(CR16*$I16&lt;=$L16,$J16,$I16)*
      IF($P16=1,
         $S16/12,
         IF(CR$4=1,
            $T16/12,
            IF(CR$4=$P16,
               $U16/12,
               1
      ))),0)
))))</f>
        <v>-</v>
      </c>
      <c r="CT16" s="56" t="str">
        <f ca="1">IF($H16=リスト!$AA$4,"-",
   IF($C16="-","-",
     IF(CT$4&gt;$P16,"-",
       IF(CT$4=1,$E16,OFFSET(CT16,0,-2)-OFFSET(CT16,0,-1)
))))</f>
        <v>-</v>
      </c>
      <c r="CU16" s="57" t="str">
        <f>IF($H16=リスト!$AA$4,"-",
 IF($C16="-","-",
  IF(CT$4&gt;$P16,"-",
   CHOOSE(MATCH($H$3,リスト!$AE$3:$AE$5,0),
    ROUNDUP(
      CT16*IF(CT16*$I16&lt;=$L16,$J16,$I16)*
      IF($P16=1,
         $S16/12,
         IF(CT$4=1,
            $T16/12,
            IF(CT$4=$P16,
               $U16/12,
               1
      ))),0),
    ROUNDDOWN(
      CT16*IF(CT16*$I16&lt;=$L16,$J16,$I16)*
      IF($P16=1,
         $S16/12,
         IF(CT$4=1,
            $T16/12,
            IF(CT$4=$P16,
               $U16/12,
               1
      ))),0),
    ROUND(
      CT16*IF(CT16*$I16&lt;=$L16,$J16,$I16)*
      IF($P16=1,
         $S16/12,
         IF(CT$4=1,
            $T16/12,
            IF(CT$4=$P16,
               $U16/12,
               1
      ))),0)
))))</f>
        <v>-</v>
      </c>
      <c r="CV16" s="56" t="str">
        <f ca="1">IF($H16=リスト!$AA$4,"-",
   IF($C16="-","-",
     IF(CV$4&gt;$P16,"-",
       IF(CV$4=1,$E16,OFFSET(CV16,0,-2)-OFFSET(CV16,0,-1)
))))</f>
        <v>-</v>
      </c>
      <c r="CW16" s="57" t="str">
        <f>IF($H16=リスト!$AA$4,"-",
 IF($C16="-","-",
  IF(CV$4&gt;$P16,"-",
   CHOOSE(MATCH($H$3,リスト!$AE$3:$AE$5,0),
    ROUNDUP(
      CV16*IF(CV16*$I16&lt;=$L16,$J16,$I16)*
      IF($P16=1,
         $S16/12,
         IF(CV$4=1,
            $T16/12,
            IF(CV$4=$P16,
               $U16/12,
               1
      ))),0),
    ROUNDDOWN(
      CV16*IF(CV16*$I16&lt;=$L16,$J16,$I16)*
      IF($P16=1,
         $S16/12,
         IF(CV$4=1,
            $T16/12,
            IF(CV$4=$P16,
               $U16/12,
               1
      ))),0),
    ROUND(
      CV16*IF(CV16*$I16&lt;=$L16,$J16,$I16)*
      IF($P16=1,
         $S16/12,
         IF(CV$4=1,
            $T16/12,
            IF(CV$4=$P16,
               $U16/12,
               1
      ))),0)
))))</f>
        <v>-</v>
      </c>
      <c r="CX16" s="56" t="str">
        <f ca="1">IF($H16=リスト!$AA$4,"-",
   IF($C16="-","-",
     IF(CX$4&gt;$P16,"-",
       IF(CX$4=1,$E16,OFFSET(CX16,0,-2)-OFFSET(CX16,0,-1)
))))</f>
        <v>-</v>
      </c>
      <c r="CY16" s="57" t="str">
        <f>IF($H16=リスト!$AA$4,"-",
 IF($C16="-","-",
  IF(CX$4&gt;$P16,"-",
   CHOOSE(MATCH($H$3,リスト!$AE$3:$AE$5,0),
    ROUNDUP(
      CX16*IF(CX16*$I16&lt;=$L16,$J16,$I16)*
      IF($P16=1,
         $S16/12,
         IF(CX$4=1,
            $T16/12,
            IF(CX$4=$P16,
               $U16/12,
               1
      ))),0),
    ROUNDDOWN(
      CX16*IF(CX16*$I16&lt;=$L16,$J16,$I16)*
      IF($P16=1,
         $S16/12,
         IF(CX$4=1,
            $T16/12,
            IF(CX$4=$P16,
               $U16/12,
               1
      ))),0),
    ROUND(
      CX16*IF(CX16*$I16&lt;=$L16,$J16,$I16)*
      IF($P16=1,
         $S16/12,
         IF(CX$4=1,
            $T16/12,
            IF(CX$4=$P16,
               $U16/12,
               1
      ))),0)
))))</f>
        <v>-</v>
      </c>
      <c r="CZ16" s="56" t="str">
        <f ca="1">IF($H16=リスト!$AA$4,"-",
   IF($C16="-","-",
     IF(CZ$4&gt;$P16,"-",
       IF(CZ$4=1,$E16,OFFSET(CZ16,0,-2)-OFFSET(CZ16,0,-1)
))))</f>
        <v>-</v>
      </c>
      <c r="DA16" s="57" t="str">
        <f>IF($H16=リスト!$AA$4,"-",
 IF($C16="-","-",
  IF(CZ$4&gt;$P16,"-",
   CHOOSE(MATCH($H$3,リスト!$AE$3:$AE$5,0),
    ROUNDUP(
      CZ16*IF(CZ16*$I16&lt;=$L16,$J16,$I16)*
      IF($P16=1,
         $S16/12,
         IF(CZ$4=1,
            $T16/12,
            IF(CZ$4=$P16,
               $U16/12,
               1
      ))),0),
    ROUNDDOWN(
      CZ16*IF(CZ16*$I16&lt;=$L16,$J16,$I16)*
      IF($P16=1,
         $S16/12,
         IF(CZ$4=1,
            $T16/12,
            IF(CZ$4=$P16,
               $U16/12,
               1
      ))),0),
    ROUND(
      CZ16*IF(CZ16*$I16&lt;=$L16,$J16,$I16)*
      IF($P16=1,
         $S16/12,
         IF(CZ$4=1,
            $T16/12,
            IF(CZ$4=$P16,
               $U16/12,
               1
      ))),0)
))))</f>
        <v>-</v>
      </c>
      <c r="DB16" s="56" t="str">
        <f ca="1">IF($H16=リスト!$AA$4,"-",
   IF($C16="-","-",
     IF(DB$4&gt;$P16,"-",
       IF(DB$4=1,$E16,OFFSET(DB16,0,-2)-OFFSET(DB16,0,-1)
))))</f>
        <v>-</v>
      </c>
      <c r="DC16" s="57" t="str">
        <f>IF($H16=リスト!$AA$4,"-",
 IF($C16="-","-",
  IF(DB$4&gt;$P16,"-",
   CHOOSE(MATCH($H$3,リスト!$AE$3:$AE$5,0),
    ROUNDUP(
      DB16*IF(DB16*$I16&lt;=$L16,$J16,$I16)*
      IF($P16=1,
         $S16/12,
         IF(DB$4=1,
            $T16/12,
            IF(DB$4=$P16,
               $U16/12,
               1
      ))),0),
    ROUNDDOWN(
      DB16*IF(DB16*$I16&lt;=$L16,$J16,$I16)*
      IF($P16=1,
         $S16/12,
         IF(DB$4=1,
            $T16/12,
            IF(DB$4=$P16,
               $U16/12,
               1
      ))),0),
    ROUND(
      DB16*IF(DB16*$I16&lt;=$L16,$J16,$I16)*
      IF($P16=1,
         $S16/12,
         IF(DB$4=1,
            $T16/12,
            IF(DB$4=$P16,
               $U16/12,
               1
      ))),0)
))))</f>
        <v>-</v>
      </c>
      <c r="DD16" s="56" t="str">
        <f ca="1">IF($H16=リスト!$AA$4,"-",
   IF($C16="-","-",
     IF(DD$4&gt;$P16,"-",
       IF(DD$4=1,$E16,OFFSET(DD16,0,-2)-OFFSET(DD16,0,-1)
))))</f>
        <v>-</v>
      </c>
      <c r="DE16" s="57" t="str">
        <f>IF($H16=リスト!$AA$4,"-",
 IF($C16="-","-",
  IF(DD$4&gt;$P16,"-",
   CHOOSE(MATCH($H$3,リスト!$AE$3:$AE$5,0),
    ROUNDUP(
      DD16*IF(DD16*$I16&lt;=$L16,$J16,$I16)*
      IF($P16=1,
         $S16/12,
         IF(DD$4=1,
            $T16/12,
            IF(DD$4=$P16,
               $U16/12,
               1
      ))),0),
    ROUNDDOWN(
      DD16*IF(DD16*$I16&lt;=$L16,$J16,$I16)*
      IF($P16=1,
         $S16/12,
         IF(DD$4=1,
            $T16/12,
            IF(DD$4=$P16,
               $U16/12,
               1
      ))),0),
    ROUND(
      DD16*IF(DD16*$I16&lt;=$L16,$J16,$I16)*
      IF($P16=1,
         $S16/12,
         IF(DD$4=1,
            $T16/12,
            IF(DD$4=$P16,
               $U16/12,
               1
      ))),0)
))))</f>
        <v>-</v>
      </c>
      <c r="DF16" s="56" t="str">
        <f ca="1">IF($H16=リスト!$AA$4,"-",
   IF($C16="-","-",
     IF(DF$4&gt;$P16,"-",
       IF(DF$4=1,$E16,OFFSET(DF16,0,-2)-OFFSET(DF16,0,-1)
))))</f>
        <v>-</v>
      </c>
      <c r="DG16" s="57" t="str">
        <f>IF($H16=リスト!$AA$4,"-",
 IF($C16="-","-",
  IF(DF$4&gt;$P16,"-",
   CHOOSE(MATCH($H$3,リスト!$AE$3:$AE$5,0),
    ROUNDUP(
      DF16*IF(DF16*$I16&lt;=$L16,$J16,$I16)*
      IF($P16=1,
         $S16/12,
         IF(DF$4=1,
            $T16/12,
            IF(DF$4=$P16,
               $U16/12,
               1
      ))),0),
    ROUNDDOWN(
      DF16*IF(DF16*$I16&lt;=$L16,$J16,$I16)*
      IF($P16=1,
         $S16/12,
         IF(DF$4=1,
            $T16/12,
            IF(DF$4=$P16,
               $U16/12,
               1
      ))),0),
    ROUND(
      DF16*IF(DF16*$I16&lt;=$L16,$J16,$I16)*
      IF($P16=1,
         $S16/12,
         IF(DF$4=1,
            $T16/12,
            IF(DF$4=$P16,
               $U16/12,
               1
      ))),0)
))))</f>
        <v>-</v>
      </c>
      <c r="DH16" s="56" t="str">
        <f ca="1">IF($H16=リスト!$AA$4,"-",
   IF($C16="-","-",
     IF(DH$4&gt;$P16,"-",
       IF(DH$4=1,$E16,OFFSET(DH16,0,-2)-OFFSET(DH16,0,-1)
))))</f>
        <v>-</v>
      </c>
      <c r="DI16" s="57" t="str">
        <f>IF($H16=リスト!$AA$4,"-",
 IF($C16="-","-",
  IF(DH$4&gt;$P16,"-",
   CHOOSE(MATCH($H$3,リスト!$AE$3:$AE$5,0),
    ROUNDUP(
      DH16*IF(DH16*$I16&lt;=$L16,$J16,$I16)*
      IF($P16=1,
         $S16/12,
         IF(DH$4=1,
            $T16/12,
            IF(DH$4=$P16,
               $U16/12,
               1
      ))),0),
    ROUNDDOWN(
      DH16*IF(DH16*$I16&lt;=$L16,$J16,$I16)*
      IF($P16=1,
         $S16/12,
         IF(DH$4=1,
            $T16/12,
            IF(DH$4=$P16,
               $U16/12,
               1
      ))),0),
    ROUND(
      DH16*IF(DH16*$I16&lt;=$L16,$J16,$I16)*
      IF($P16=1,
         $S16/12,
         IF(DH$4=1,
            $T16/12,
            IF(DH$4=$P16,
               $U16/12,
               1
      ))),0)
))))</f>
        <v>-</v>
      </c>
      <c r="DJ16" s="56" t="str">
        <f ca="1">IF($H16=リスト!$AA$4,"-",
   IF($C16="-","-",
     IF(DJ$4&gt;$P16,"-",
       IF(DJ$4=1,$E16,OFFSET(DJ16,0,-2)-OFFSET(DJ16,0,-1)
))))</f>
        <v>-</v>
      </c>
      <c r="DK16" s="57" t="str">
        <f>IF($H16=リスト!$AA$4,"-",
 IF($C16="-","-",
  IF(DJ$4&gt;$P16,"-",
   CHOOSE(MATCH($H$3,リスト!$AE$3:$AE$5,0),
    ROUNDUP(
      DJ16*IF(DJ16*$I16&lt;=$L16,$J16,$I16)*
      IF($P16=1,
         $S16/12,
         IF(DJ$4=1,
            $T16/12,
            IF(DJ$4=$P16,
               $U16/12,
               1
      ))),0),
    ROUNDDOWN(
      DJ16*IF(DJ16*$I16&lt;=$L16,$J16,$I16)*
      IF($P16=1,
         $S16/12,
         IF(DJ$4=1,
            $T16/12,
            IF(DJ$4=$P16,
               $U16/12,
               1
      ))),0),
    ROUND(
      DJ16*IF(DJ16*$I16&lt;=$L16,$J16,$I16)*
      IF($P16=1,
         $S16/12,
         IF(DJ$4=1,
            $T16/12,
            IF(DJ$4=$P16,
               $U16/12,
               1
      ))),0)
))))</f>
        <v>-</v>
      </c>
      <c r="DL16" s="56" t="str">
        <f ca="1">IF($H16=リスト!$AA$4,"-",
   IF($C16="-","-",
     IF(DL$4&gt;$P16,"-",
       IF(DL$4=1,$E16,OFFSET(DL16,0,-2)-OFFSET(DL16,0,-1)
))))</f>
        <v>-</v>
      </c>
      <c r="DM16" s="57" t="str">
        <f>IF($H16=リスト!$AA$4,"-",
 IF($C16="-","-",
  IF(DL$4&gt;$P16,"-",
   CHOOSE(MATCH($H$3,リスト!$AE$3:$AE$5,0),
    ROUNDUP(
      DL16*IF(DL16*$I16&lt;=$L16,$J16,$I16)*
      IF($P16=1,
         $S16/12,
         IF(DL$4=1,
            $T16/12,
            IF(DL$4=$P16,
               $U16/12,
               1
      ))),0),
    ROUNDDOWN(
      DL16*IF(DL16*$I16&lt;=$L16,$J16,$I16)*
      IF($P16=1,
         $S16/12,
         IF(DL$4=1,
            $T16/12,
            IF(DL$4=$P16,
               $U16/12,
               1
      ))),0),
    ROUND(
      DL16*IF(DL16*$I16&lt;=$L16,$J16,$I16)*
      IF($P16=1,
         $S16/12,
         IF(DL$4=1,
            $T16/12,
            IF(DL$4=$P16,
               $U16/12,
               1
      ))),0)
))))</f>
        <v>-</v>
      </c>
      <c r="DN16" s="56" t="str">
        <f ca="1">IF($H16=リスト!$AA$4,"-",
   IF($C16="-","-",
     IF(DN$4&gt;$P16,"-",
       IF(DN$4=1,$E16,OFFSET(DN16,0,-2)-OFFSET(DN16,0,-1)
))))</f>
        <v>-</v>
      </c>
      <c r="DO16" s="57" t="str">
        <f>IF($H16=リスト!$AA$4,"-",
 IF($C16="-","-",
  IF(DN$4&gt;$P16,"-",
   CHOOSE(MATCH($H$3,リスト!$AE$3:$AE$5,0),
    ROUNDUP(
      DN16*IF(DN16*$I16&lt;=$L16,$J16,$I16)*
      IF($P16=1,
         $S16/12,
         IF(DN$4=1,
            $T16/12,
            IF(DN$4=$P16,
               $U16/12,
               1
      ))),0),
    ROUNDDOWN(
      DN16*IF(DN16*$I16&lt;=$L16,$J16,$I16)*
      IF($P16=1,
         $S16/12,
         IF(DN$4=1,
            $T16/12,
            IF(DN$4=$P16,
               $U16/12,
               1
      ))),0),
    ROUND(
      DN16*IF(DN16*$I16&lt;=$L16,$J16,$I16)*
      IF($P16=1,
         $S16/12,
         IF(DN$4=1,
            $T16/12,
            IF(DN$4=$P16,
               $U16/12,
               1
      ))),0)
))))</f>
        <v>-</v>
      </c>
      <c r="DP16" s="56" t="str">
        <f ca="1">IF($H16=リスト!$AA$4,"-",
   IF($C16="-","-",
     IF(DP$4&gt;$P16,"-",
       IF(DP$4=1,$E16,OFFSET(DP16,0,-2)-OFFSET(DP16,0,-1)
))))</f>
        <v>-</v>
      </c>
      <c r="DQ16" s="57" t="str">
        <f>IF($H16=リスト!$AA$4,"-",
 IF($C16="-","-",
  IF(DP$4&gt;$P16,"-",
   CHOOSE(MATCH($H$3,リスト!$AE$3:$AE$5,0),
    ROUNDUP(
      DP16*IF(DP16*$I16&lt;=$L16,$J16,$I16)*
      IF($P16=1,
         $S16/12,
         IF(DP$4=1,
            $T16/12,
            IF(DP$4=$P16,
               $U16/12,
               1
      ))),0),
    ROUNDDOWN(
      DP16*IF(DP16*$I16&lt;=$L16,$J16,$I16)*
      IF($P16=1,
         $S16/12,
         IF(DP$4=1,
            $T16/12,
            IF(DP$4=$P16,
               $U16/12,
               1
      ))),0),
    ROUND(
      DP16*IF(DP16*$I16&lt;=$L16,$J16,$I16)*
      IF($P16=1,
         $S16/12,
         IF(DP$4=1,
            $T16/12,
            IF(DP$4=$P16,
               $U16/12,
               1
      ))),0)
))))</f>
        <v>-</v>
      </c>
      <c r="DR16" s="56" t="str">
        <f ca="1">IF($H16=リスト!$AA$4,"-",
   IF($C16="-","-",
     IF(DR$4&gt;$P16,"-",
       IF(DR$4=1,$E16,OFFSET(DR16,0,-2)-OFFSET(DR16,0,-1)
))))</f>
        <v>-</v>
      </c>
      <c r="DS16" s="57" t="str">
        <f>IF($H16=リスト!$AA$4,"-",
 IF($C16="-","-",
  IF(DR$4&gt;$P16,"-",
   CHOOSE(MATCH($H$3,リスト!$AE$3:$AE$5,0),
    ROUNDUP(
      DR16*IF(DR16*$I16&lt;=$L16,$J16,$I16)*
      IF($P16=1,
         ($G16-$F16+1)/$Q16,
         IF(DR$4=1,
            ($M16-$F16+1)/$Q16,
            IF(DR$4=$P16,
               ($G16-$O16+1)/$R16,
               1
      ))),0),
    ROUNDDOWN(
      DR16*IF(DR16*$I16&lt;=$L16,$J16,$I16)*
      IF($P16=1,
         ($G16-$F16+1)/$Q16,
         IF(DR$4=1,
            ($M16-$F16+1)/$Q16,
            IF(DR$4=$P16,
               ($G16-$O16+1)/$R16,
               1
      ))),0),
    ROUND(
      DR16*IF(DR16*$I16&lt;=$L16,$J16,$I16)*
      IF($P16=1,
         ($G16-$F16+1)/$Q16,
         IF(DR$4=1,
            ($M16-$F16+1)/$Q16,
            IF(DR$4=$P16,
               ($G16-$O16+1)/$R16,
               1
      ))),0)
))))</f>
        <v>-</v>
      </c>
      <c r="DT16" s="56" t="str" cm="1">
        <f t="array" ref="DT16">IF($H16&lt;&gt;リスト!$AA$3,"-",$E16-SUMPRODUCT(IFERROR($Y16:$DS16*1,0), --(MOD(COLUMN($Y16:$DS16)-COLUMN($Y16),2)=0)))</f>
        <v>-</v>
      </c>
      <c r="DU16" s="56" t="str">
        <f>IF($H16&lt;&gt;リスト!$AA$4,"-",
    IF($H$3=リスト!$AE$3,$E16-ROUNDUP($E16*I16*$W16/12,0),
    IF($H$3=リスト!$AE$4,$E16-ROUNDDOWN($E16*I16*$W16/12,0),
    IF($H$3=リスト!$AE$5,$E16-ROUND($E16*I16*$W16/12,0),
    "-"))))</f>
        <v>-</v>
      </c>
    </row>
    <row r="17" spans="2:125">
      <c r="B17" s="54">
        <v>12</v>
      </c>
      <c r="C17" s="55" t="str">
        <f>IF('財産処分報告(災害)用'!$C17="","-",'財産処分報告(災害)用'!$C17)</f>
        <v>-</v>
      </c>
      <c r="D17" s="55" t="str">
        <f>'財産処分報告(災害)用'!$E17</f>
        <v>-</v>
      </c>
      <c r="E17" s="56" t="str">
        <f>IF('財産処分報告(災害)用'!$J17="","-",'財産処分報告(災害)用'!$J17)</f>
        <v>-</v>
      </c>
      <c r="F17" s="101" t="str">
        <f>IF('財産処分報告(災害)用'!$K17="","-",'財産処分報告(災害)用'!$K17)</f>
        <v>-</v>
      </c>
      <c r="G17" s="101" t="str">
        <f>IF('財産処分報告(災害)用'!$L17="","-",'財産処分報告(災害)用'!$L17)</f>
        <v>-</v>
      </c>
      <c r="H17" s="55" t="str">
        <f>IF('財産処分報告(災害)用'!$M17="","-",'財産処分報告(災害)用'!$M17)</f>
        <v>-</v>
      </c>
      <c r="I17" s="55" t="str">
        <f>IF(OR($D17="-",$H17="-"),"-",INDEX(リスト!$AG$2:$AI$101,MATCH($D17,リスト!$AG$2:$AG$101,0),MATCH($H17,リスト!$AG$2:$AI$2,0)))</f>
        <v>-</v>
      </c>
      <c r="J17" s="55" t="str">
        <f>IF(OR($D17="-",$H17="-"),"-",IF($H17=リスト!$AA$4,"-",INDEX(リスト!$AG$2:$AK$101,MATCH($D17,リスト!$AG$2:$AG$101,0),4)))</f>
        <v>-</v>
      </c>
      <c r="K17" s="55" t="str">
        <f>IF(OR($D17="-",$H17="-"),"-",IF($H17=リスト!$AA$4,"-",INDEX(リスト!$AG$2:$AK$101,MATCH($D17,リスト!$AG$2:$AG$101,0),5)))</f>
        <v>-</v>
      </c>
      <c r="L17" s="55" t="str">
        <f t="shared" si="0"/>
        <v>-</v>
      </c>
      <c r="M17" s="101" t="str">
        <f t="shared" si="1"/>
        <v>-</v>
      </c>
      <c r="N17" s="101" t="str">
        <f t="shared" si="2"/>
        <v>-</v>
      </c>
      <c r="O17" s="101" t="str">
        <f t="shared" si="3"/>
        <v>-</v>
      </c>
      <c r="P17" s="102" t="str">
        <f t="shared" si="4"/>
        <v>-</v>
      </c>
      <c r="Q17" s="115" t="str">
        <f t="shared" si="5"/>
        <v>-</v>
      </c>
      <c r="R17" s="116" t="str">
        <f t="shared" si="6"/>
        <v>-</v>
      </c>
      <c r="S17" s="102" t="str">
        <f t="shared" si="7"/>
        <v>-</v>
      </c>
      <c r="T17" s="102" t="str">
        <f t="shared" si="8"/>
        <v>-</v>
      </c>
      <c r="U17" s="102" t="str">
        <f t="shared" si="9"/>
        <v>-</v>
      </c>
      <c r="V17" s="102" t="str">
        <f t="shared" si="10"/>
        <v>-</v>
      </c>
      <c r="W17" s="55" t="str">
        <f t="shared" si="11"/>
        <v>-</v>
      </c>
      <c r="X17" s="56" t="str">
        <f ca="1">IF($H17=リスト!$AA$4,"-",
   IF($C17="-","-",
     IF(X$4&gt;$P17,"-",
       IF(X$4=1,$E17,OFFSET(X17,0,-2)-OFFSET(X17,0,-1)
))))</f>
        <v>-</v>
      </c>
      <c r="Y17" s="57" t="str">
        <f>IF($H17=リスト!$AA$4,"-",
 IF($C17="-","-",
  IF(X$4&gt;$P17,"-",
   CHOOSE(MATCH($H$3,リスト!$AE$3:$AE$5,0),
    ROUNDUP(
      X17*IF(X17*$I17&lt;=$L17,$J17,$I17)*
      IF($P17=1,
         $S17/12,
         IF(X$4=1,
            $T17/12,
            IF(X$4=$P17,
               $U17/12,
               1
      ))),0),
    ROUNDDOWN(
      X17*IF(X17*$I17&lt;=$L17,$J17,$I17)*
      IF($P17=1,
         $S17/12,
         IF(X$4=1,
            $T17/12,
            IF(X$4=$P17,
               $U17/12,
               1
      ))),0),
    ROUND(
      X17*IF(X17*$I17&lt;=$L17,$J17,$I17)*
      IF($P17=1,
         $S17/12,
         IF(X$4=1,
            $T17/12,
            IF(X$4=$P17,
               $U17/12,
               1
      ))),0)
))))</f>
        <v>-</v>
      </c>
      <c r="Z17" s="56" t="str">
        <f ca="1">IF($H17=リスト!$AA$4,"-",
   IF($C17="-","-",
     IF(Z$4&gt;$P17,"-",
       IF(Z$4=1,$E17,OFFSET(Z17,0,-2)-OFFSET(Z17,0,-1)
))))</f>
        <v>-</v>
      </c>
      <c r="AA17" s="57" t="str">
        <f>IF($H17=リスト!$AA$4,"-",
 IF($C17="-","-",
  IF(Z$4&gt;$P17,"-",
   CHOOSE(MATCH($H$3,リスト!$AE$3:$AE$5,0),
    ROUNDUP(
      Z17*IF(Z17*$I17&lt;=$L17,$J17,$I17)*
      IF($P17=1,
         $S17/12,
         IF(Z$4=1,
            $T17/12,
            IF(Z$4=$P17,
               $U17/12,
               1
      ))),0),
    ROUNDDOWN(
      Z17*IF(Z17*$I17&lt;=$L17,$J17,$I17)*
      IF($P17=1,
         $S17/12,
         IF(Z$4=1,
            $T17/12,
            IF(Z$4=$P17,
               $U17/12,
               1
      ))),0),
    ROUND(
      Z17*IF(Z17*$I17&lt;=$L17,$J17,$I17)*
      IF($P17=1,
         $S17/12,
         IF(Z$4=1,
            $T17/12,
            IF(Z$4=$P17,
               $U17/12,
               1
      ))),0)
))))</f>
        <v>-</v>
      </c>
      <c r="AB17" s="56" t="str">
        <f ca="1">IF($H17=リスト!$AA$4,"-",
   IF($C17="-","-",
     IF(AB$4&gt;$P17,"-",
       IF(AB$4=1,$E17,OFFSET(AB17,0,-2)-OFFSET(AB17,0,-1)
))))</f>
        <v>-</v>
      </c>
      <c r="AC17" s="57" t="str">
        <f>IF($H17=リスト!$AA$4,"-",
 IF($C17="-","-",
  IF(AB$4&gt;$P17,"-",
   CHOOSE(MATCH($H$3,リスト!$AE$3:$AE$5,0),
    ROUNDUP(
      AB17*IF(AB17*$I17&lt;=$L17,$J17,$I17)*
      IF($P17=1,
         $S17/12,
         IF(AB$4=1,
            $T17/12,
            IF(AB$4=$P17,
               $U17/12,
               1
      ))),0),
    ROUNDDOWN(
      AB17*IF(AB17*$I17&lt;=$L17,$J17,$I17)*
      IF($P17=1,
         $S17/12,
         IF(AB$4=1,
            $T17/12,
            IF(AB$4=$P17,
               $U17/12,
               1
      ))),0),
    ROUND(
      AB17*IF(AB17*$I17&lt;=$L17,$J17,$I17)*
      IF($P17=1,
         $S17/12,
         IF(AB$4=1,
            $T17/12,
            IF(AB$4=$P17,
               $U17/12,
               1
      ))),0)
))))</f>
        <v>-</v>
      </c>
      <c r="AD17" s="56" t="str">
        <f ca="1">IF($H17=リスト!$AA$4,"-",
   IF($C17="-","-",
     IF(AD$4&gt;$P17,"-",
       IF(AD$4=1,$E17,OFFSET(AD17,0,-2)-OFFSET(AD17,0,-1)
))))</f>
        <v>-</v>
      </c>
      <c r="AE17" s="57" t="str">
        <f>IF($H17=リスト!$AA$4,"-",
 IF($C17="-","-",
  IF(AD$4&gt;$P17,"-",
   CHOOSE(MATCH($H$3,リスト!$AE$3:$AE$5,0),
    ROUNDUP(
      AD17*IF(AD17*$I17&lt;=$L17,$J17,$I17)*
      IF($P17=1,
         $S17/12,
         IF(AD$4=1,
            $T17/12,
            IF(AD$4=$P17,
               $U17/12,
               1
      ))),0),
    ROUNDDOWN(
      AD17*IF(AD17*$I17&lt;=$L17,$J17,$I17)*
      IF($P17=1,
         $S17/12,
         IF(AD$4=1,
            $T17/12,
            IF(AD$4=$P17,
               $U17/12,
               1
      ))),0),
    ROUND(
      AD17*IF(AD17*$I17&lt;=$L17,$J17,$I17)*
      IF($P17=1,
         $S17/12,
         IF(AD$4=1,
            $T17/12,
            IF(AD$4=$P17,
               $U17/12,
               1
      ))),0)
))))</f>
        <v>-</v>
      </c>
      <c r="AF17" s="56" t="str">
        <f ca="1">IF($H17=リスト!$AA$4,"-",
   IF($C17="-","-",
     IF(AF$4&gt;$P17,"-",
       IF(AF$4=1,$E17,OFFSET(AF17,0,-2)-OFFSET(AF17,0,-1)
))))</f>
        <v>-</v>
      </c>
      <c r="AG17" s="57" t="str">
        <f>IF($H17=リスト!$AA$4,"-",
 IF($C17="-","-",
  IF(AF$4&gt;$P17,"-",
   CHOOSE(MATCH($H$3,リスト!$AE$3:$AE$5,0),
    ROUNDUP(
      AF17*IF(AF17*$I17&lt;=$L17,$J17,$I17)*
      IF($P17=1,
         $S17/12,
         IF(AF$4=1,
            $T17/12,
            IF(AF$4=$P17,
               $U17/12,
               1
      ))),0),
    ROUNDDOWN(
      AF17*IF(AF17*$I17&lt;=$L17,$J17,$I17)*
      IF($P17=1,
         $S17/12,
         IF(AF$4=1,
            $T17/12,
            IF(AF$4=$P17,
               $U17/12,
               1
      ))),0),
    ROUND(
      AF17*IF(AF17*$I17&lt;=$L17,$J17,$I17)*
      IF($P17=1,
         $S17/12,
         IF(AF$4=1,
            $T17/12,
            IF(AF$4=$P17,
               $U17/12,
               1
      ))),0)
))))</f>
        <v>-</v>
      </c>
      <c r="AH17" s="56" t="str">
        <f ca="1">IF($H17=リスト!$AA$4,"-",
   IF($C17="-","-",
     IF(AH$4&gt;$P17,"-",
       IF(AH$4=1,$E17,OFFSET(AH17,0,-2)-OFFSET(AH17,0,-1)
))))</f>
        <v>-</v>
      </c>
      <c r="AI17" s="57" t="str">
        <f>IF($H17=リスト!$AA$4,"-",
 IF($C17="-","-",
  IF(AH$4&gt;$P17,"-",
   CHOOSE(MATCH($H$3,リスト!$AE$3:$AE$5,0),
    ROUNDUP(
      AH17*IF(AH17*$I17&lt;=$L17,$J17,$I17)*
      IF($P17=1,
         $S17/12,
         IF(AH$4=1,
            $T17/12,
            IF(AH$4=$P17,
               $U17/12,
               1
      ))),0),
    ROUNDDOWN(
      AH17*IF(AH17*$I17&lt;=$L17,$J17,$I17)*
      IF($P17=1,
         $S17/12,
         IF(AH$4=1,
            $T17/12,
            IF(AH$4=$P17,
               $U17/12,
               1
      ))),0),
    ROUND(
      AH17*IF(AH17*$I17&lt;=$L17,$J17,$I17)*
      IF($P17=1,
         $S17/12,
         IF(AH$4=1,
            $T17/12,
            IF(AH$4=$P17,
               $U17/12,
               1
      ))),0)
))))</f>
        <v>-</v>
      </c>
      <c r="AJ17" s="56" t="str">
        <f ca="1">IF($H17=リスト!$AA$4,"-",
   IF($C17="-","-",
     IF(AJ$4&gt;$P17,"-",
       IF(AJ$4=1,$E17,OFFSET(AJ17,0,-2)-OFFSET(AJ17,0,-1)
))))</f>
        <v>-</v>
      </c>
      <c r="AK17" s="57" t="str">
        <f>IF($H17=リスト!$AA$4,"-",
 IF($C17="-","-",
  IF(AJ$4&gt;$P17,"-",
   CHOOSE(MATCH($H$3,リスト!$AE$3:$AE$5,0),
    ROUNDUP(
      AJ17*IF(AJ17*$I17&lt;=$L17,$J17,$I17)*
      IF($P17=1,
         $S17/12,
         IF(AJ$4=1,
            $T17/12,
            IF(AJ$4=$P17,
               $U17/12,
               1
      ))),0),
    ROUNDDOWN(
      AJ17*IF(AJ17*$I17&lt;=$L17,$J17,$I17)*
      IF($P17=1,
         $S17/12,
         IF(AJ$4=1,
            $T17/12,
            IF(AJ$4=$P17,
               $U17/12,
               1
      ))),0),
    ROUND(
      AJ17*IF(AJ17*$I17&lt;=$L17,$J17,$I17)*
      IF($P17=1,
         $S17/12,
         IF(AJ$4=1,
            $T17/12,
            IF(AJ$4=$P17,
               $U17/12,
               1
      ))),0)
))))</f>
        <v>-</v>
      </c>
      <c r="AL17" s="56" t="str">
        <f ca="1">IF($H17=リスト!$AA$4,"-",
   IF($C17="-","-",
     IF(AL$4&gt;$P17,"-",
       IF(AL$4=1,$E17,OFFSET(AL17,0,-2)-OFFSET(AL17,0,-1)
))))</f>
        <v>-</v>
      </c>
      <c r="AM17" s="57" t="str">
        <f>IF($H17=リスト!$AA$4,"-",
 IF($C17="-","-",
  IF(AL$4&gt;$P17,"-",
   CHOOSE(MATCH($H$3,リスト!$AE$3:$AE$5,0),
    ROUNDUP(
      AL17*IF(AL17*$I17&lt;=$L17,$J17,$I17)*
      IF($P17=1,
         $S17/12,
         IF(AL$4=1,
            $T17/12,
            IF(AL$4=$P17,
               $U17/12,
               1
      ))),0),
    ROUNDDOWN(
      AL17*IF(AL17*$I17&lt;=$L17,$J17,$I17)*
      IF($P17=1,
         $S17/12,
         IF(AL$4=1,
            $T17/12,
            IF(AL$4=$P17,
               $U17/12,
               1
      ))),0),
    ROUND(
      AL17*IF(AL17*$I17&lt;=$L17,$J17,$I17)*
      IF($P17=1,
         $S17/12,
         IF(AL$4=1,
            $T17/12,
            IF(AL$4=$P17,
               $U17/12,
               1
      ))),0)
))))</f>
        <v>-</v>
      </c>
      <c r="AN17" s="56" t="str">
        <f ca="1">IF($H17=リスト!$AA$4,"-",
   IF($C17="-","-",
     IF(AN$4&gt;$P17,"-",
       IF(AN$4=1,$E17,OFFSET(AN17,0,-2)-OFFSET(AN17,0,-1)
))))</f>
        <v>-</v>
      </c>
      <c r="AO17" s="57" t="str">
        <f>IF($H17=リスト!$AA$4,"-",
 IF($C17="-","-",
  IF(AN$4&gt;$P17,"-",
   CHOOSE(MATCH($H$3,リスト!$AE$3:$AE$5,0),
    ROUNDUP(
      AN17*IF(AN17*$I17&lt;=$L17,$J17,$I17)*
      IF($P17=1,
         $S17/12,
         IF(AN$4=1,
            $T17/12,
            IF(AN$4=$P17,
               $U17/12,
               1
      ))),0),
    ROUNDDOWN(
      AN17*IF(AN17*$I17&lt;=$L17,$J17,$I17)*
      IF($P17=1,
         $S17/12,
         IF(AN$4=1,
            $T17/12,
            IF(AN$4=$P17,
               $U17/12,
               1
      ))),0),
    ROUND(
      AN17*IF(AN17*$I17&lt;=$L17,$J17,$I17)*
      IF($P17=1,
         $S17/12,
         IF(AN$4=1,
            $T17/12,
            IF(AN$4=$P17,
               $U17/12,
               1
      ))),0)
))))</f>
        <v>-</v>
      </c>
      <c r="AP17" s="56" t="str">
        <f ca="1">IF($H17=リスト!$AA$4,"-",
   IF($C17="-","-",
     IF(AP$4&gt;$P17,"-",
       IF(AP$4=1,$E17,OFFSET(AP17,0,-2)-OFFSET(AP17,0,-1)
))))</f>
        <v>-</v>
      </c>
      <c r="AQ17" s="57" t="str">
        <f>IF($H17=リスト!$AA$4,"-",
 IF($C17="-","-",
  IF(AP$4&gt;$P17,"-",
   CHOOSE(MATCH($H$3,リスト!$AE$3:$AE$5,0),
    ROUNDUP(
      AP17*IF(AP17*$I17&lt;=$L17,$J17,$I17)*
      IF($P17=1,
         $S17/12,
         IF(AP$4=1,
            $T17/12,
            IF(AP$4=$P17,
               $U17/12,
               1
      ))),0),
    ROUNDDOWN(
      AP17*IF(AP17*$I17&lt;=$L17,$J17,$I17)*
      IF($P17=1,
         $S17/12,
         IF(AP$4=1,
            $T17/12,
            IF(AP$4=$P17,
               $U17/12,
               1
      ))),0),
    ROUND(
      AP17*IF(AP17*$I17&lt;=$L17,$J17,$I17)*
      IF($P17=1,
         $S17/12,
         IF(AP$4=1,
            $T17/12,
            IF(AP$4=$P17,
               $U17/12,
               1
      ))),0)
))))</f>
        <v>-</v>
      </c>
      <c r="AR17" s="56" t="str">
        <f ca="1">IF($H17=リスト!$AA$4,"-",
   IF($C17="-","-",
     IF(AR$4&gt;$P17,"-",
       IF(AR$4=1,$E17,OFFSET(AR17,0,-2)-OFFSET(AR17,0,-1)
))))</f>
        <v>-</v>
      </c>
      <c r="AS17" s="57" t="str">
        <f>IF($H17=リスト!$AA$4,"-",
 IF($C17="-","-",
  IF(AR$4&gt;$P17,"-",
   CHOOSE(MATCH($H$3,リスト!$AE$3:$AE$5,0),
    ROUNDUP(
      AR17*IF(AR17*$I17&lt;=$L17,$J17,$I17)*
      IF($P17=1,
         $S17/12,
         IF(AR$4=1,
            $T17/12,
            IF(AR$4=$P17,
               $U17/12,
               1
      ))),0),
    ROUNDDOWN(
      AR17*IF(AR17*$I17&lt;=$L17,$J17,$I17)*
      IF($P17=1,
         $S17/12,
         IF(AR$4=1,
            $T17/12,
            IF(AR$4=$P17,
               $U17/12,
               1
      ))),0),
    ROUND(
      AR17*IF(AR17*$I17&lt;=$L17,$J17,$I17)*
      IF($P17=1,
         $S17/12,
         IF(AR$4=1,
            $T17/12,
            IF(AR$4=$P17,
               $U17/12,
               1
      ))),0)
))))</f>
        <v>-</v>
      </c>
      <c r="AT17" s="56" t="str">
        <f ca="1">IF($H17=リスト!$AA$4,"-",
   IF($C17="-","-",
     IF(AT$4&gt;$P17,"-",
       IF(AT$4=1,$E17,OFFSET(AT17,0,-2)-OFFSET(AT17,0,-1)
))))</f>
        <v>-</v>
      </c>
      <c r="AU17" s="57" t="str">
        <f>IF($H17=リスト!$AA$4,"-",
 IF($C17="-","-",
  IF(AT$4&gt;$P17,"-",
   CHOOSE(MATCH($H$3,リスト!$AE$3:$AE$5,0),
    ROUNDUP(
      AT17*IF(AT17*$I17&lt;=$L17,$J17,$I17)*
      IF($P17=1,
         $S17/12,
         IF(AT$4=1,
            $T17/12,
            IF(AT$4=$P17,
               $U17/12,
               1
      ))),0),
    ROUNDDOWN(
      AT17*IF(AT17*$I17&lt;=$L17,$J17,$I17)*
      IF($P17=1,
         $S17/12,
         IF(AT$4=1,
            $T17/12,
            IF(AT$4=$P17,
               $U17/12,
               1
      ))),0),
    ROUND(
      AT17*IF(AT17*$I17&lt;=$L17,$J17,$I17)*
      IF($P17=1,
         $S17/12,
         IF(AT$4=1,
            $T17/12,
            IF(AT$4=$P17,
               $U17/12,
               1
      ))),0)
))))</f>
        <v>-</v>
      </c>
      <c r="AV17" s="56" t="str">
        <f ca="1">IF($H17=リスト!$AA$4,"-",
   IF($C17="-","-",
     IF(AV$4&gt;$P17,"-",
       IF(AV$4=1,$E17,OFFSET(AV17,0,-2)-OFFSET(AV17,0,-1)
))))</f>
        <v>-</v>
      </c>
      <c r="AW17" s="57" t="str">
        <f>IF($H17=リスト!$AA$4,"-",
 IF($C17="-","-",
  IF(AV$4&gt;$P17,"-",
   CHOOSE(MATCH($H$3,リスト!$AE$3:$AE$5,0),
    ROUNDUP(
      AV17*IF(AV17*$I17&lt;=$L17,$J17,$I17)*
      IF($P17=1,
         $S17/12,
         IF(AV$4=1,
            $T17/12,
            IF(AV$4=$P17,
               $U17/12,
               1
      ))),0),
    ROUNDDOWN(
      AV17*IF(AV17*$I17&lt;=$L17,$J17,$I17)*
      IF($P17=1,
         $S17/12,
         IF(AV$4=1,
            $T17/12,
            IF(AV$4=$P17,
               $U17/12,
               1
      ))),0),
    ROUND(
      AV17*IF(AV17*$I17&lt;=$L17,$J17,$I17)*
      IF($P17=1,
         $S17/12,
         IF(AV$4=1,
            $T17/12,
            IF(AV$4=$P17,
               $U17/12,
               1
      ))),0)
))))</f>
        <v>-</v>
      </c>
      <c r="AX17" s="56" t="str">
        <f ca="1">IF($H17=リスト!$AA$4,"-",
   IF($C17="-","-",
     IF(AX$4&gt;$P17,"-",
       IF(AX$4=1,$E17,OFFSET(AX17,0,-2)-OFFSET(AX17,0,-1)
))))</f>
        <v>-</v>
      </c>
      <c r="AY17" s="57" t="str">
        <f>IF($H17=リスト!$AA$4,"-",
 IF($C17="-","-",
  IF(AX$4&gt;$P17,"-",
   CHOOSE(MATCH($H$3,リスト!$AE$3:$AE$5,0),
    ROUNDUP(
      AX17*IF(AX17*$I17&lt;=$L17,$J17,$I17)*
      IF($P17=1,
         $S17/12,
         IF(AX$4=1,
            $T17/12,
            IF(AX$4=$P17,
               $U17/12,
               1
      ))),0),
    ROUNDDOWN(
      AX17*IF(AX17*$I17&lt;=$L17,$J17,$I17)*
      IF($P17=1,
         $S17/12,
         IF(AX$4=1,
            $T17/12,
            IF(AX$4=$P17,
               $U17/12,
               1
      ))),0),
    ROUND(
      AX17*IF(AX17*$I17&lt;=$L17,$J17,$I17)*
      IF($P17=1,
         $S17/12,
         IF(AX$4=1,
            $T17/12,
            IF(AX$4=$P17,
               $U17/12,
               1
      ))),0)
))))</f>
        <v>-</v>
      </c>
      <c r="AZ17" s="56" t="str">
        <f ca="1">IF($H17=リスト!$AA$4,"-",
   IF($C17="-","-",
     IF(AZ$4&gt;$P17,"-",
       IF(AZ$4=1,$E17,OFFSET(AZ17,0,-2)-OFFSET(AZ17,0,-1)
))))</f>
        <v>-</v>
      </c>
      <c r="BA17" s="57" t="str">
        <f>IF($H17=リスト!$AA$4,"-",
 IF($C17="-","-",
  IF(AZ$4&gt;$P17,"-",
   CHOOSE(MATCH($H$3,リスト!$AE$3:$AE$5,0),
    ROUNDUP(
      AZ17*IF(AZ17*$I17&lt;=$L17,$J17,$I17)*
      IF($P17=1,
         $S17/12,
         IF(AZ$4=1,
            $T17/12,
            IF(AZ$4=$P17,
               $U17/12,
               1
      ))),0),
    ROUNDDOWN(
      AZ17*IF(AZ17*$I17&lt;=$L17,$J17,$I17)*
      IF($P17=1,
         $S17/12,
         IF(AZ$4=1,
            $T17/12,
            IF(AZ$4=$P17,
               $U17/12,
               1
      ))),0),
    ROUND(
      AZ17*IF(AZ17*$I17&lt;=$L17,$J17,$I17)*
      IF($P17=1,
         $S17/12,
         IF(AZ$4=1,
            $T17/12,
            IF(AZ$4=$P17,
               $U17/12,
               1
      ))),0)
))))</f>
        <v>-</v>
      </c>
      <c r="BB17" s="56" t="str">
        <f ca="1">IF($H17=リスト!$AA$4,"-",
   IF($C17="-","-",
     IF(BB$4&gt;$P17,"-",
       IF(BB$4=1,$E17,OFFSET(BB17,0,-2)-OFFSET(BB17,0,-1)
))))</f>
        <v>-</v>
      </c>
      <c r="BC17" s="57" t="str">
        <f>IF($H17=リスト!$AA$4,"-",
 IF($C17="-","-",
  IF(BB$4&gt;$P17,"-",
   CHOOSE(MATCH($H$3,リスト!$AE$3:$AE$5,0),
    ROUNDUP(
      BB17*IF(BB17*$I17&lt;=$L17,$J17,$I17)*
      IF($P17=1,
         $S17/12,
         IF(BB$4=1,
            $T17/12,
            IF(BB$4=$P17,
               $U17/12,
               1
      ))),0),
    ROUNDDOWN(
      BB17*IF(BB17*$I17&lt;=$L17,$J17,$I17)*
      IF($P17=1,
         $S17/12,
         IF(BB$4=1,
            $T17/12,
            IF(BB$4=$P17,
               $U17/12,
               1
      ))),0),
    ROUND(
      BB17*IF(BB17*$I17&lt;=$L17,$J17,$I17)*
      IF($P17=1,
         $S17/12,
         IF(BB$4=1,
            $T17/12,
            IF(BB$4=$P17,
               $U17/12,
               1
      ))),0)
))))</f>
        <v>-</v>
      </c>
      <c r="BD17" s="56" t="str">
        <f ca="1">IF($H17=リスト!$AA$4,"-",
   IF($C17="-","-",
     IF(BD$4&gt;$P17,"-",
       IF(BD$4=1,$E17,OFFSET(BD17,0,-2)-OFFSET(BD17,0,-1)
))))</f>
        <v>-</v>
      </c>
      <c r="BE17" s="57" t="str">
        <f>IF($H17=リスト!$AA$4,"-",
 IF($C17="-","-",
  IF(BD$4&gt;$P17,"-",
   CHOOSE(MATCH($H$3,リスト!$AE$3:$AE$5,0),
    ROUNDUP(
      BD17*IF(BD17*$I17&lt;=$L17,$J17,$I17)*
      IF($P17=1,
         $S17/12,
         IF(BD$4=1,
            $T17/12,
            IF(BD$4=$P17,
               $U17/12,
               1
      ))),0),
    ROUNDDOWN(
      BD17*IF(BD17*$I17&lt;=$L17,$J17,$I17)*
      IF($P17=1,
         $S17/12,
         IF(BD$4=1,
            $T17/12,
            IF(BD$4=$P17,
               $U17/12,
               1
      ))),0),
    ROUND(
      BD17*IF(BD17*$I17&lt;=$L17,$J17,$I17)*
      IF($P17=1,
         $S17/12,
         IF(BD$4=1,
            $T17/12,
            IF(BD$4=$P17,
               $U17/12,
               1
      ))),0)
))))</f>
        <v>-</v>
      </c>
      <c r="BF17" s="56" t="str">
        <f ca="1">IF($H17=リスト!$AA$4,"-",
   IF($C17="-","-",
     IF(BF$4&gt;$P17,"-",
       IF(BF$4=1,$E17,OFFSET(BF17,0,-2)-OFFSET(BF17,0,-1)
))))</f>
        <v>-</v>
      </c>
      <c r="BG17" s="57" t="str">
        <f>IF($H17=リスト!$AA$4,"-",
 IF($C17="-","-",
  IF(BF$4&gt;$P17,"-",
   CHOOSE(MATCH($H$3,リスト!$AE$3:$AE$5,0),
    ROUNDUP(
      BF17*IF(BF17*$I17&lt;=$L17,$J17,$I17)*
      IF($P17=1,
         $S17/12,
         IF(BF$4=1,
            $T17/12,
            IF(BF$4=$P17,
               $U17/12,
               1
      ))),0),
    ROUNDDOWN(
      BF17*IF(BF17*$I17&lt;=$L17,$J17,$I17)*
      IF($P17=1,
         $S17/12,
         IF(BF$4=1,
            $T17/12,
            IF(BF$4=$P17,
               $U17/12,
               1
      ))),0),
    ROUND(
      BF17*IF(BF17*$I17&lt;=$L17,$J17,$I17)*
      IF($P17=1,
         $S17/12,
         IF(BF$4=1,
            $T17/12,
            IF(BF$4=$P17,
               $U17/12,
               1
      ))),0)
))))</f>
        <v>-</v>
      </c>
      <c r="BH17" s="56" t="str">
        <f ca="1">IF($H17=リスト!$AA$4,"-",
   IF($C17="-","-",
     IF(BH$4&gt;$P17,"-",
       IF(BH$4=1,$E17,OFFSET(BH17,0,-2)-OFFSET(BH17,0,-1)
))))</f>
        <v>-</v>
      </c>
      <c r="BI17" s="57" t="str">
        <f>IF($H17=リスト!$AA$4,"-",
 IF($C17="-","-",
  IF(BH$4&gt;$P17,"-",
   CHOOSE(MATCH($H$3,リスト!$AE$3:$AE$5,0),
    ROUNDUP(
      BH17*IF(BH17*$I17&lt;=$L17,$J17,$I17)*
      IF($P17=1,
         $S17/12,
         IF(BH$4=1,
            $T17/12,
            IF(BH$4=$P17,
               $U17/12,
               1
      ))),0),
    ROUNDDOWN(
      BH17*IF(BH17*$I17&lt;=$L17,$J17,$I17)*
      IF($P17=1,
         $S17/12,
         IF(BH$4=1,
            $T17/12,
            IF(BH$4=$P17,
               $U17/12,
               1
      ))),0),
    ROUND(
      BH17*IF(BH17*$I17&lt;=$L17,$J17,$I17)*
      IF($P17=1,
         $S17/12,
         IF(BH$4=1,
            $T17/12,
            IF(BH$4=$P17,
               $U17/12,
               1
      ))),0)
))))</f>
        <v>-</v>
      </c>
      <c r="BJ17" s="56" t="str">
        <f ca="1">IF($H17=リスト!$AA$4,"-",
   IF($C17="-","-",
     IF(BJ$4&gt;$P17,"-",
       IF(BJ$4=1,$E17,OFFSET(BJ17,0,-2)-OFFSET(BJ17,0,-1)
))))</f>
        <v>-</v>
      </c>
      <c r="BK17" s="57" t="str">
        <f>IF($H17=リスト!$AA$4,"-",
 IF($C17="-","-",
  IF(BJ$4&gt;$P17,"-",
   CHOOSE(MATCH($H$3,リスト!$AE$3:$AE$5,0),
    ROUNDUP(
      BJ17*IF(BJ17*$I17&lt;=$L17,$J17,$I17)*
      IF($P17=1,
         $S17/12,
         IF(BJ$4=1,
            $T17/12,
            IF(BJ$4=$P17,
               $U17/12,
               1
      ))),0),
    ROUNDDOWN(
      BJ17*IF(BJ17*$I17&lt;=$L17,$J17,$I17)*
      IF($P17=1,
         $S17/12,
         IF(BJ$4=1,
            $T17/12,
            IF(BJ$4=$P17,
               $U17/12,
               1
      ))),0),
    ROUND(
      BJ17*IF(BJ17*$I17&lt;=$L17,$J17,$I17)*
      IF($P17=1,
         $S17/12,
         IF(BJ$4=1,
            $T17/12,
            IF(BJ$4=$P17,
               $U17/12,
               1
      ))),0)
))))</f>
        <v>-</v>
      </c>
      <c r="BL17" s="56" t="str">
        <f ca="1">IF($H17=リスト!$AA$4,"-",
   IF($C17="-","-",
     IF(BL$4&gt;$P17,"-",
       IF(BL$4=1,$E17,OFFSET(BL17,0,-2)-OFFSET(BL17,0,-1)
))))</f>
        <v>-</v>
      </c>
      <c r="BM17" s="57" t="str">
        <f>IF($H17=リスト!$AA$4,"-",
 IF($C17="-","-",
  IF(BL$4&gt;$P17,"-",
   CHOOSE(MATCH($H$3,リスト!$AE$3:$AE$5,0),
    ROUNDUP(
      BL17*IF(BL17*$I17&lt;=$L17,$J17,$I17)*
      IF($P17=1,
         $S17/12,
         IF(BL$4=1,
            $T17/12,
            IF(BL$4=$P17,
               $U17/12,
               1
      ))),0),
    ROUNDDOWN(
      BL17*IF(BL17*$I17&lt;=$L17,$J17,$I17)*
      IF($P17=1,
         $S17/12,
         IF(BL$4=1,
            $T17/12,
            IF(BL$4=$P17,
               $U17/12,
               1
      ))),0),
    ROUND(
      BL17*IF(BL17*$I17&lt;=$L17,$J17,$I17)*
      IF($P17=1,
         $S17/12,
         IF(BL$4=1,
            $T17/12,
            IF(BL$4=$P17,
               $U17/12,
               1
      ))),0)
))))</f>
        <v>-</v>
      </c>
      <c r="BN17" s="56" t="str">
        <f ca="1">IF($H17=リスト!$AA$4,"-",
   IF($C17="-","-",
     IF(BN$4&gt;$P17,"-",
       IF(BN$4=1,$E17,OFFSET(BN17,0,-2)-OFFSET(BN17,0,-1)
))))</f>
        <v>-</v>
      </c>
      <c r="BO17" s="57" t="str">
        <f>IF($H17=リスト!$AA$4,"-",
 IF($C17="-","-",
  IF(BN$4&gt;$P17,"-",
   CHOOSE(MATCH($H$3,リスト!$AE$3:$AE$5,0),
    ROUNDUP(
      BN17*IF(BN17*$I17&lt;=$L17,$J17,$I17)*
      IF($P17=1,
         $S17/12,
         IF(BN$4=1,
            $T17/12,
            IF(BN$4=$P17,
               $U17/12,
               1
      ))),0),
    ROUNDDOWN(
      BN17*IF(BN17*$I17&lt;=$L17,$J17,$I17)*
      IF($P17=1,
         $S17/12,
         IF(BN$4=1,
            $T17/12,
            IF(BN$4=$P17,
               $U17/12,
               1
      ))),0),
    ROUND(
      BN17*IF(BN17*$I17&lt;=$L17,$J17,$I17)*
      IF($P17=1,
         $S17/12,
         IF(BN$4=1,
            $T17/12,
            IF(BN$4=$P17,
               $U17/12,
               1
      ))),0)
))))</f>
        <v>-</v>
      </c>
      <c r="BP17" s="56" t="str">
        <f ca="1">IF($H17=リスト!$AA$4,"-",
   IF($C17="-","-",
     IF(BP$4&gt;$P17,"-",
       IF(BP$4=1,$E17,OFFSET(BP17,0,-2)-OFFSET(BP17,0,-1)
))))</f>
        <v>-</v>
      </c>
      <c r="BQ17" s="57" t="str">
        <f>IF($H17=リスト!$AA$4,"-",
 IF($C17="-","-",
  IF(BP$4&gt;$P17,"-",
   CHOOSE(MATCH($H$3,リスト!$AE$3:$AE$5,0),
    ROUNDUP(
      BP17*IF(BP17*$I17&lt;=$L17,$J17,$I17)*
      IF($P17=1,
         $S17/12,
         IF(BP$4=1,
            $T17/12,
            IF(BP$4=$P17,
               $U17/12,
               1
      ))),0),
    ROUNDDOWN(
      BP17*IF(BP17*$I17&lt;=$L17,$J17,$I17)*
      IF($P17=1,
         $S17/12,
         IF(BP$4=1,
            $T17/12,
            IF(BP$4=$P17,
               $U17/12,
               1
      ))),0),
    ROUND(
      BP17*IF(BP17*$I17&lt;=$L17,$J17,$I17)*
      IF($P17=1,
         $S17/12,
         IF(BP$4=1,
            $T17/12,
            IF(BP$4=$P17,
               $U17/12,
               1
      ))),0)
))))</f>
        <v>-</v>
      </c>
      <c r="BR17" s="56" t="str">
        <f ca="1">IF($H17=リスト!$AA$4,"-",
   IF($C17="-","-",
     IF(BR$4&gt;$P17,"-",
       IF(BR$4=1,$E17,OFFSET(BR17,0,-2)-OFFSET(BR17,0,-1)
))))</f>
        <v>-</v>
      </c>
      <c r="BS17" s="57" t="str">
        <f>IF($H17=リスト!$AA$4,"-",
 IF($C17="-","-",
  IF(BR$4&gt;$P17,"-",
   CHOOSE(MATCH($H$3,リスト!$AE$3:$AE$5,0),
    ROUNDUP(
      BR17*IF(BR17*$I17&lt;=$L17,$J17,$I17)*
      IF($P17=1,
         $S17/12,
         IF(BR$4=1,
            $T17/12,
            IF(BR$4=$P17,
               $U17/12,
               1
      ))),0),
    ROUNDDOWN(
      BR17*IF(BR17*$I17&lt;=$L17,$J17,$I17)*
      IF($P17=1,
         $S17/12,
         IF(BR$4=1,
            $T17/12,
            IF(BR$4=$P17,
               $U17/12,
               1
      ))),0),
    ROUND(
      BR17*IF(BR17*$I17&lt;=$L17,$J17,$I17)*
      IF($P17=1,
         $S17/12,
         IF(BR$4=1,
            $T17/12,
            IF(BR$4=$P17,
               $U17/12,
               1
      ))),0)
))))</f>
        <v>-</v>
      </c>
      <c r="BT17" s="56" t="str">
        <f ca="1">IF($H17=リスト!$AA$4,"-",
   IF($C17="-","-",
     IF(BT$4&gt;$P17,"-",
       IF(BT$4=1,$E17,OFFSET(BT17,0,-2)-OFFSET(BT17,0,-1)
))))</f>
        <v>-</v>
      </c>
      <c r="BU17" s="57" t="str">
        <f>IF($H17=リスト!$AA$4,"-",
 IF($C17="-","-",
  IF(BT$4&gt;$P17,"-",
   CHOOSE(MATCH($H$3,リスト!$AE$3:$AE$5,0),
    ROUNDUP(
      BT17*IF(BT17*$I17&lt;=$L17,$J17,$I17)*
      IF($P17=1,
         $S17/12,
         IF(BT$4=1,
            $T17/12,
            IF(BT$4=$P17,
               $U17/12,
               1
      ))),0),
    ROUNDDOWN(
      BT17*IF(BT17*$I17&lt;=$L17,$J17,$I17)*
      IF($P17=1,
         $S17/12,
         IF(BT$4=1,
            $T17/12,
            IF(BT$4=$P17,
               $U17/12,
               1
      ))),0),
    ROUND(
      BT17*IF(BT17*$I17&lt;=$L17,$J17,$I17)*
      IF($P17=1,
         $S17/12,
         IF(BT$4=1,
            $T17/12,
            IF(BT$4=$P17,
               $U17/12,
               1
      ))),0)
))))</f>
        <v>-</v>
      </c>
      <c r="BV17" s="56" t="str">
        <f ca="1">IF($H17=リスト!$AA$4,"-",
   IF($C17="-","-",
     IF(BV$4&gt;$P17,"-",
       IF(BV$4=1,$E17,OFFSET(BV17,0,-2)-OFFSET(BV17,0,-1)
))))</f>
        <v>-</v>
      </c>
      <c r="BW17" s="57" t="str">
        <f>IF($H17=リスト!$AA$4,"-",
 IF($C17="-","-",
  IF(BV$4&gt;$P17,"-",
   CHOOSE(MATCH($H$3,リスト!$AE$3:$AE$5,0),
    ROUNDUP(
      BV17*IF(BV17*$I17&lt;=$L17,$J17,$I17)*
      IF($P17=1,
         $S17/12,
         IF(BV$4=1,
            $T17/12,
            IF(BV$4=$P17,
               $U17/12,
               1
      ))),0),
    ROUNDDOWN(
      BV17*IF(BV17*$I17&lt;=$L17,$J17,$I17)*
      IF($P17=1,
         $S17/12,
         IF(BV$4=1,
            $T17/12,
            IF(BV$4=$P17,
               $U17/12,
               1
      ))),0),
    ROUND(
      BV17*IF(BV17*$I17&lt;=$L17,$J17,$I17)*
      IF($P17=1,
         $S17/12,
         IF(BV$4=1,
            $T17/12,
            IF(BV$4=$P17,
               $U17/12,
               1
      ))),0)
))))</f>
        <v>-</v>
      </c>
      <c r="BX17" s="56" t="str">
        <f ca="1">IF($H17=リスト!$AA$4,"-",
   IF($C17="-","-",
     IF(BX$4&gt;$P17,"-",
       IF(BX$4=1,$E17,OFFSET(BX17,0,-2)-OFFSET(BX17,0,-1)
))))</f>
        <v>-</v>
      </c>
      <c r="BY17" s="57" t="str">
        <f>IF($H17=リスト!$AA$4,"-",
 IF($C17="-","-",
  IF(BX$4&gt;$P17,"-",
   CHOOSE(MATCH($H$3,リスト!$AE$3:$AE$5,0),
    ROUNDUP(
      BX17*IF(BX17*$I17&lt;=$L17,$J17,$I17)*
      IF($P17=1,
         $S17/12,
         IF(BX$4=1,
            $T17/12,
            IF(BX$4=$P17,
               $U17/12,
               1
      ))),0),
    ROUNDDOWN(
      BX17*IF(BX17*$I17&lt;=$L17,$J17,$I17)*
      IF($P17=1,
         $S17/12,
         IF(BX$4=1,
            $T17/12,
            IF(BX$4=$P17,
               $U17/12,
               1
      ))),0),
    ROUND(
      BX17*IF(BX17*$I17&lt;=$L17,$J17,$I17)*
      IF($P17=1,
         $S17/12,
         IF(BX$4=1,
            $T17/12,
            IF(BX$4=$P17,
               $U17/12,
               1
      ))),0)
))))</f>
        <v>-</v>
      </c>
      <c r="BZ17" s="56" t="str">
        <f ca="1">IF($H17=リスト!$AA$4,"-",
   IF($C17="-","-",
     IF(BZ$4&gt;$P17,"-",
       IF(BZ$4=1,$E17,OFFSET(BZ17,0,-2)-OFFSET(BZ17,0,-1)
))))</f>
        <v>-</v>
      </c>
      <c r="CA17" s="57" t="str">
        <f>IF($H17=リスト!$AA$4,"-",
 IF($C17="-","-",
  IF(BZ$4&gt;$P17,"-",
   CHOOSE(MATCH($H$3,リスト!$AE$3:$AE$5,0),
    ROUNDUP(
      BZ17*IF(BZ17*$I17&lt;=$L17,$J17,$I17)*
      IF($P17=1,
         $S17/12,
         IF(BZ$4=1,
            $T17/12,
            IF(BZ$4=$P17,
               $U17/12,
               1
      ))),0),
    ROUNDDOWN(
      BZ17*IF(BZ17*$I17&lt;=$L17,$J17,$I17)*
      IF($P17=1,
         $S17/12,
         IF(BZ$4=1,
            $T17/12,
            IF(BZ$4=$P17,
               $U17/12,
               1
      ))),0),
    ROUND(
      BZ17*IF(BZ17*$I17&lt;=$L17,$J17,$I17)*
      IF($P17=1,
         $S17/12,
         IF(BZ$4=1,
            $T17/12,
            IF(BZ$4=$P17,
               $U17/12,
               1
      ))),0)
))))</f>
        <v>-</v>
      </c>
      <c r="CB17" s="56" t="str">
        <f ca="1">IF($H17=リスト!$AA$4,"-",
   IF($C17="-","-",
     IF(CB$4&gt;$P17,"-",
       IF(CB$4=1,$E17,OFFSET(CB17,0,-2)-OFFSET(CB17,0,-1)
))))</f>
        <v>-</v>
      </c>
      <c r="CC17" s="57" t="str">
        <f>IF($H17=リスト!$AA$4,"-",
 IF($C17="-","-",
  IF(CB$4&gt;$P17,"-",
   CHOOSE(MATCH($H$3,リスト!$AE$3:$AE$5,0),
    ROUNDUP(
      CB17*IF(CB17*$I17&lt;=$L17,$J17,$I17)*
      IF($P17=1,
         $S17/12,
         IF(CB$4=1,
            $T17/12,
            IF(CB$4=$P17,
               $U17/12,
               1
      ))),0),
    ROUNDDOWN(
      CB17*IF(CB17*$I17&lt;=$L17,$J17,$I17)*
      IF($P17=1,
         $S17/12,
         IF(CB$4=1,
            $T17/12,
            IF(CB$4=$P17,
               $U17/12,
               1
      ))),0),
    ROUND(
      CB17*IF(CB17*$I17&lt;=$L17,$J17,$I17)*
      IF($P17=1,
         $S17/12,
         IF(CB$4=1,
            $T17/12,
            IF(CB$4=$P17,
               $U17/12,
               1
      ))),0)
))))</f>
        <v>-</v>
      </c>
      <c r="CD17" s="56" t="str">
        <f ca="1">IF($H17=リスト!$AA$4,"-",
   IF($C17="-","-",
     IF(CD$4&gt;$P17,"-",
       IF(CD$4=1,$E17,OFFSET(CD17,0,-2)-OFFSET(CD17,0,-1)
))))</f>
        <v>-</v>
      </c>
      <c r="CE17" s="57" t="str">
        <f>IF($H17=リスト!$AA$4,"-",
 IF($C17="-","-",
  IF(CD$4&gt;$P17,"-",
   CHOOSE(MATCH($H$3,リスト!$AE$3:$AE$5,0),
    ROUNDUP(
      CD17*IF(CD17*$I17&lt;=$L17,$J17,$I17)*
      IF($P17=1,
         $S17/12,
         IF(CD$4=1,
            $T17/12,
            IF(CD$4=$P17,
               $U17/12,
               1
      ))),0),
    ROUNDDOWN(
      CD17*IF(CD17*$I17&lt;=$L17,$J17,$I17)*
      IF($P17=1,
         $S17/12,
         IF(CD$4=1,
            $T17/12,
            IF(CD$4=$P17,
               $U17/12,
               1
      ))),0),
    ROUND(
      CD17*IF(CD17*$I17&lt;=$L17,$J17,$I17)*
      IF($P17=1,
         $S17/12,
         IF(CD$4=1,
            $T17/12,
            IF(CD$4=$P17,
               $U17/12,
               1
      ))),0)
))))</f>
        <v>-</v>
      </c>
      <c r="CF17" s="56" t="str">
        <f ca="1">IF($H17=リスト!$AA$4,"-",
   IF($C17="-","-",
     IF(CF$4&gt;$P17,"-",
       IF(CF$4=1,$E17,OFFSET(CF17,0,-2)-OFFSET(CF17,0,-1)
))))</f>
        <v>-</v>
      </c>
      <c r="CG17" s="57" t="str">
        <f>IF($H17=リスト!$AA$4,"-",
 IF($C17="-","-",
  IF(CF$4&gt;$P17,"-",
   CHOOSE(MATCH($H$3,リスト!$AE$3:$AE$5,0),
    ROUNDUP(
      CF17*IF(CF17*$I17&lt;=$L17,$J17,$I17)*
      IF($P17=1,
         $S17/12,
         IF(CF$4=1,
            $T17/12,
            IF(CF$4=$P17,
               $U17/12,
               1
      ))),0),
    ROUNDDOWN(
      CF17*IF(CF17*$I17&lt;=$L17,$J17,$I17)*
      IF($P17=1,
         $S17/12,
         IF(CF$4=1,
            $T17/12,
            IF(CF$4=$P17,
               $U17/12,
               1
      ))),0),
    ROUND(
      CF17*IF(CF17*$I17&lt;=$L17,$J17,$I17)*
      IF($P17=1,
         $S17/12,
         IF(CF$4=1,
            $T17/12,
            IF(CF$4=$P17,
               $U17/12,
               1
      ))),0)
))))</f>
        <v>-</v>
      </c>
      <c r="CH17" s="56" t="str">
        <f ca="1">IF($H17=リスト!$AA$4,"-",
   IF($C17="-","-",
     IF(CH$4&gt;$P17,"-",
       IF(CH$4=1,$E17,OFFSET(CH17,0,-2)-OFFSET(CH17,0,-1)
))))</f>
        <v>-</v>
      </c>
      <c r="CI17" s="57" t="str">
        <f>IF($H17=リスト!$AA$4,"-",
 IF($C17="-","-",
  IF(CH$4&gt;$P17,"-",
   CHOOSE(MATCH($H$3,リスト!$AE$3:$AE$5,0),
    ROUNDUP(
      CH17*IF(CH17*$I17&lt;=$L17,$J17,$I17)*
      IF($P17=1,
         $S17/12,
         IF(CH$4=1,
            $T17/12,
            IF(CH$4=$P17,
               $U17/12,
               1
      ))),0),
    ROUNDDOWN(
      CH17*IF(CH17*$I17&lt;=$L17,$J17,$I17)*
      IF($P17=1,
         $S17/12,
         IF(CH$4=1,
            $T17/12,
            IF(CH$4=$P17,
               $U17/12,
               1
      ))),0),
    ROUND(
      CH17*IF(CH17*$I17&lt;=$L17,$J17,$I17)*
      IF($P17=1,
         $S17/12,
         IF(CH$4=1,
            $T17/12,
            IF(CH$4=$P17,
               $U17/12,
               1
      ))),0)
))))</f>
        <v>-</v>
      </c>
      <c r="CJ17" s="56" t="str">
        <f ca="1">IF($H17=リスト!$AA$4,"-",
   IF($C17="-","-",
     IF(CJ$4&gt;$P17,"-",
       IF(CJ$4=1,$E17,OFFSET(CJ17,0,-2)-OFFSET(CJ17,0,-1)
))))</f>
        <v>-</v>
      </c>
      <c r="CK17" s="57" t="str">
        <f>IF($H17=リスト!$AA$4,"-",
 IF($C17="-","-",
  IF(CJ$4&gt;$P17,"-",
   CHOOSE(MATCH($H$3,リスト!$AE$3:$AE$5,0),
    ROUNDUP(
      CJ17*IF(CJ17*$I17&lt;=$L17,$J17,$I17)*
      IF($P17=1,
         $S17/12,
         IF(CJ$4=1,
            $T17/12,
            IF(CJ$4=$P17,
               $U17/12,
               1
      ))),0),
    ROUNDDOWN(
      CJ17*IF(CJ17*$I17&lt;=$L17,$J17,$I17)*
      IF($P17=1,
         $S17/12,
         IF(CJ$4=1,
            $T17/12,
            IF(CJ$4=$P17,
               $U17/12,
               1
      ))),0),
    ROUND(
      CJ17*IF(CJ17*$I17&lt;=$L17,$J17,$I17)*
      IF($P17=1,
         $S17/12,
         IF(CJ$4=1,
            $T17/12,
            IF(CJ$4=$P17,
               $U17/12,
               1
      ))),0)
))))</f>
        <v>-</v>
      </c>
      <c r="CL17" s="56" t="str">
        <f ca="1">IF($H17=リスト!$AA$4,"-",
   IF($C17="-","-",
     IF(CL$4&gt;$P17,"-",
       IF(CL$4=1,$E17,OFFSET(CL17,0,-2)-OFFSET(CL17,0,-1)
))))</f>
        <v>-</v>
      </c>
      <c r="CM17" s="57" t="str">
        <f>IF($H17=リスト!$AA$4,"-",
 IF($C17="-","-",
  IF(CL$4&gt;$P17,"-",
   CHOOSE(MATCH($H$3,リスト!$AE$3:$AE$5,0),
    ROUNDUP(
      CL17*IF(CL17*$I17&lt;=$L17,$J17,$I17)*
      IF($P17=1,
         $S17/12,
         IF(CL$4=1,
            $T17/12,
            IF(CL$4=$P17,
               $U17/12,
               1
      ))),0),
    ROUNDDOWN(
      CL17*IF(CL17*$I17&lt;=$L17,$J17,$I17)*
      IF($P17=1,
         $S17/12,
         IF(CL$4=1,
            $T17/12,
            IF(CL$4=$P17,
               $U17/12,
               1
      ))),0),
    ROUND(
      CL17*IF(CL17*$I17&lt;=$L17,$J17,$I17)*
      IF($P17=1,
         $S17/12,
         IF(CL$4=1,
            $T17/12,
            IF(CL$4=$P17,
               $U17/12,
               1
      ))),0)
))))</f>
        <v>-</v>
      </c>
      <c r="CN17" s="56" t="str">
        <f ca="1">IF($H17=リスト!$AA$4,"-",
   IF($C17="-","-",
     IF(CN$4&gt;$P17,"-",
       IF(CN$4=1,$E17,OFFSET(CN17,0,-2)-OFFSET(CN17,0,-1)
))))</f>
        <v>-</v>
      </c>
      <c r="CO17" s="57" t="str">
        <f>IF($H17=リスト!$AA$4,"-",
 IF($C17="-","-",
  IF(CN$4&gt;$P17,"-",
   CHOOSE(MATCH($H$3,リスト!$AE$3:$AE$5,0),
    ROUNDUP(
      CN17*IF(CN17*$I17&lt;=$L17,$J17,$I17)*
      IF($P17=1,
         $S17/12,
         IF(CN$4=1,
            $T17/12,
            IF(CN$4=$P17,
               $U17/12,
               1
      ))),0),
    ROUNDDOWN(
      CN17*IF(CN17*$I17&lt;=$L17,$J17,$I17)*
      IF($P17=1,
         $S17/12,
         IF(CN$4=1,
            $T17/12,
            IF(CN$4=$P17,
               $U17/12,
               1
      ))),0),
    ROUND(
      CN17*IF(CN17*$I17&lt;=$L17,$J17,$I17)*
      IF($P17=1,
         $S17/12,
         IF(CN$4=1,
            $T17/12,
            IF(CN$4=$P17,
               $U17/12,
               1
      ))),0)
))))</f>
        <v>-</v>
      </c>
      <c r="CP17" s="56" t="str">
        <f ca="1">IF($H17=リスト!$AA$4,"-",
   IF($C17="-","-",
     IF(CP$4&gt;$P17,"-",
       IF(CP$4=1,$E17,OFFSET(CP17,0,-2)-OFFSET(CP17,0,-1)
))))</f>
        <v>-</v>
      </c>
      <c r="CQ17" s="57" t="str">
        <f>IF($H17=リスト!$AA$4,"-",
 IF($C17="-","-",
  IF(CP$4&gt;$P17,"-",
   CHOOSE(MATCH($H$3,リスト!$AE$3:$AE$5,0),
    ROUNDUP(
      CP17*IF(CP17*$I17&lt;=$L17,$J17,$I17)*
      IF($P17=1,
         $S17/12,
         IF(CP$4=1,
            $T17/12,
            IF(CP$4=$P17,
               $U17/12,
               1
      ))),0),
    ROUNDDOWN(
      CP17*IF(CP17*$I17&lt;=$L17,$J17,$I17)*
      IF($P17=1,
         $S17/12,
         IF(CP$4=1,
            $T17/12,
            IF(CP$4=$P17,
               $U17/12,
               1
      ))),0),
    ROUND(
      CP17*IF(CP17*$I17&lt;=$L17,$J17,$I17)*
      IF($P17=1,
         $S17/12,
         IF(CP$4=1,
            $T17/12,
            IF(CP$4=$P17,
               $U17/12,
               1
      ))),0)
))))</f>
        <v>-</v>
      </c>
      <c r="CR17" s="56" t="str">
        <f ca="1">IF($H17=リスト!$AA$4,"-",
   IF($C17="-","-",
     IF(CR$4&gt;$P17,"-",
       IF(CR$4=1,$E17,OFFSET(CR17,0,-2)-OFFSET(CR17,0,-1)
))))</f>
        <v>-</v>
      </c>
      <c r="CS17" s="57" t="str">
        <f>IF($H17=リスト!$AA$4,"-",
 IF($C17="-","-",
  IF(CR$4&gt;$P17,"-",
   CHOOSE(MATCH($H$3,リスト!$AE$3:$AE$5,0),
    ROUNDUP(
      CR17*IF(CR17*$I17&lt;=$L17,$J17,$I17)*
      IF($P17=1,
         $S17/12,
         IF(CR$4=1,
            $T17/12,
            IF(CR$4=$P17,
               $U17/12,
               1
      ))),0),
    ROUNDDOWN(
      CR17*IF(CR17*$I17&lt;=$L17,$J17,$I17)*
      IF($P17=1,
         $S17/12,
         IF(CR$4=1,
            $T17/12,
            IF(CR$4=$P17,
               $U17/12,
               1
      ))),0),
    ROUND(
      CR17*IF(CR17*$I17&lt;=$L17,$J17,$I17)*
      IF($P17=1,
         $S17/12,
         IF(CR$4=1,
            $T17/12,
            IF(CR$4=$P17,
               $U17/12,
               1
      ))),0)
))))</f>
        <v>-</v>
      </c>
      <c r="CT17" s="56" t="str">
        <f ca="1">IF($H17=リスト!$AA$4,"-",
   IF($C17="-","-",
     IF(CT$4&gt;$P17,"-",
       IF(CT$4=1,$E17,OFFSET(CT17,0,-2)-OFFSET(CT17,0,-1)
))))</f>
        <v>-</v>
      </c>
      <c r="CU17" s="57" t="str">
        <f>IF($H17=リスト!$AA$4,"-",
 IF($C17="-","-",
  IF(CT$4&gt;$P17,"-",
   CHOOSE(MATCH($H$3,リスト!$AE$3:$AE$5,0),
    ROUNDUP(
      CT17*IF(CT17*$I17&lt;=$L17,$J17,$I17)*
      IF($P17=1,
         $S17/12,
         IF(CT$4=1,
            $T17/12,
            IF(CT$4=$P17,
               $U17/12,
               1
      ))),0),
    ROUNDDOWN(
      CT17*IF(CT17*$I17&lt;=$L17,$J17,$I17)*
      IF($P17=1,
         $S17/12,
         IF(CT$4=1,
            $T17/12,
            IF(CT$4=$P17,
               $U17/12,
               1
      ))),0),
    ROUND(
      CT17*IF(CT17*$I17&lt;=$L17,$J17,$I17)*
      IF($P17=1,
         $S17/12,
         IF(CT$4=1,
            $T17/12,
            IF(CT$4=$P17,
               $U17/12,
               1
      ))),0)
))))</f>
        <v>-</v>
      </c>
      <c r="CV17" s="56" t="str">
        <f ca="1">IF($H17=リスト!$AA$4,"-",
   IF($C17="-","-",
     IF(CV$4&gt;$P17,"-",
       IF(CV$4=1,$E17,OFFSET(CV17,0,-2)-OFFSET(CV17,0,-1)
))))</f>
        <v>-</v>
      </c>
      <c r="CW17" s="57" t="str">
        <f>IF($H17=リスト!$AA$4,"-",
 IF($C17="-","-",
  IF(CV$4&gt;$P17,"-",
   CHOOSE(MATCH($H$3,リスト!$AE$3:$AE$5,0),
    ROUNDUP(
      CV17*IF(CV17*$I17&lt;=$L17,$J17,$I17)*
      IF($P17=1,
         $S17/12,
         IF(CV$4=1,
            $T17/12,
            IF(CV$4=$P17,
               $U17/12,
               1
      ))),0),
    ROUNDDOWN(
      CV17*IF(CV17*$I17&lt;=$L17,$J17,$I17)*
      IF($P17=1,
         $S17/12,
         IF(CV$4=1,
            $T17/12,
            IF(CV$4=$P17,
               $U17/12,
               1
      ))),0),
    ROUND(
      CV17*IF(CV17*$I17&lt;=$L17,$J17,$I17)*
      IF($P17=1,
         $S17/12,
         IF(CV$4=1,
            $T17/12,
            IF(CV$4=$P17,
               $U17/12,
               1
      ))),0)
))))</f>
        <v>-</v>
      </c>
      <c r="CX17" s="56" t="str">
        <f ca="1">IF($H17=リスト!$AA$4,"-",
   IF($C17="-","-",
     IF(CX$4&gt;$P17,"-",
       IF(CX$4=1,$E17,OFFSET(CX17,0,-2)-OFFSET(CX17,0,-1)
))))</f>
        <v>-</v>
      </c>
      <c r="CY17" s="57" t="str">
        <f>IF($H17=リスト!$AA$4,"-",
 IF($C17="-","-",
  IF(CX$4&gt;$P17,"-",
   CHOOSE(MATCH($H$3,リスト!$AE$3:$AE$5,0),
    ROUNDUP(
      CX17*IF(CX17*$I17&lt;=$L17,$J17,$I17)*
      IF($P17=1,
         $S17/12,
         IF(CX$4=1,
            $T17/12,
            IF(CX$4=$P17,
               $U17/12,
               1
      ))),0),
    ROUNDDOWN(
      CX17*IF(CX17*$I17&lt;=$L17,$J17,$I17)*
      IF($P17=1,
         $S17/12,
         IF(CX$4=1,
            $T17/12,
            IF(CX$4=$P17,
               $U17/12,
               1
      ))),0),
    ROUND(
      CX17*IF(CX17*$I17&lt;=$L17,$J17,$I17)*
      IF($P17=1,
         $S17/12,
         IF(CX$4=1,
            $T17/12,
            IF(CX$4=$P17,
               $U17/12,
               1
      ))),0)
))))</f>
        <v>-</v>
      </c>
      <c r="CZ17" s="56" t="str">
        <f ca="1">IF($H17=リスト!$AA$4,"-",
   IF($C17="-","-",
     IF(CZ$4&gt;$P17,"-",
       IF(CZ$4=1,$E17,OFFSET(CZ17,0,-2)-OFFSET(CZ17,0,-1)
))))</f>
        <v>-</v>
      </c>
      <c r="DA17" s="57" t="str">
        <f>IF($H17=リスト!$AA$4,"-",
 IF($C17="-","-",
  IF(CZ$4&gt;$P17,"-",
   CHOOSE(MATCH($H$3,リスト!$AE$3:$AE$5,0),
    ROUNDUP(
      CZ17*IF(CZ17*$I17&lt;=$L17,$J17,$I17)*
      IF($P17=1,
         $S17/12,
         IF(CZ$4=1,
            $T17/12,
            IF(CZ$4=$P17,
               $U17/12,
               1
      ))),0),
    ROUNDDOWN(
      CZ17*IF(CZ17*$I17&lt;=$L17,$J17,$I17)*
      IF($P17=1,
         $S17/12,
         IF(CZ$4=1,
            $T17/12,
            IF(CZ$4=$P17,
               $U17/12,
               1
      ))),0),
    ROUND(
      CZ17*IF(CZ17*$I17&lt;=$L17,$J17,$I17)*
      IF($P17=1,
         $S17/12,
         IF(CZ$4=1,
            $T17/12,
            IF(CZ$4=$P17,
               $U17/12,
               1
      ))),0)
))))</f>
        <v>-</v>
      </c>
      <c r="DB17" s="56" t="str">
        <f ca="1">IF($H17=リスト!$AA$4,"-",
   IF($C17="-","-",
     IF(DB$4&gt;$P17,"-",
       IF(DB$4=1,$E17,OFFSET(DB17,0,-2)-OFFSET(DB17,0,-1)
))))</f>
        <v>-</v>
      </c>
      <c r="DC17" s="57" t="str">
        <f>IF($H17=リスト!$AA$4,"-",
 IF($C17="-","-",
  IF(DB$4&gt;$P17,"-",
   CHOOSE(MATCH($H$3,リスト!$AE$3:$AE$5,0),
    ROUNDUP(
      DB17*IF(DB17*$I17&lt;=$L17,$J17,$I17)*
      IF($P17=1,
         $S17/12,
         IF(DB$4=1,
            $T17/12,
            IF(DB$4=$P17,
               $U17/12,
               1
      ))),0),
    ROUNDDOWN(
      DB17*IF(DB17*$I17&lt;=$L17,$J17,$I17)*
      IF($P17=1,
         $S17/12,
         IF(DB$4=1,
            $T17/12,
            IF(DB$4=$P17,
               $U17/12,
               1
      ))),0),
    ROUND(
      DB17*IF(DB17*$I17&lt;=$L17,$J17,$I17)*
      IF($P17=1,
         $S17/12,
         IF(DB$4=1,
            $T17/12,
            IF(DB$4=$P17,
               $U17/12,
               1
      ))),0)
))))</f>
        <v>-</v>
      </c>
      <c r="DD17" s="56" t="str">
        <f ca="1">IF($H17=リスト!$AA$4,"-",
   IF($C17="-","-",
     IF(DD$4&gt;$P17,"-",
       IF(DD$4=1,$E17,OFFSET(DD17,0,-2)-OFFSET(DD17,0,-1)
))))</f>
        <v>-</v>
      </c>
      <c r="DE17" s="57" t="str">
        <f>IF($H17=リスト!$AA$4,"-",
 IF($C17="-","-",
  IF(DD$4&gt;$P17,"-",
   CHOOSE(MATCH($H$3,リスト!$AE$3:$AE$5,0),
    ROUNDUP(
      DD17*IF(DD17*$I17&lt;=$L17,$J17,$I17)*
      IF($P17=1,
         $S17/12,
         IF(DD$4=1,
            $T17/12,
            IF(DD$4=$P17,
               $U17/12,
               1
      ))),0),
    ROUNDDOWN(
      DD17*IF(DD17*$I17&lt;=$L17,$J17,$I17)*
      IF($P17=1,
         $S17/12,
         IF(DD$4=1,
            $T17/12,
            IF(DD$4=$P17,
               $U17/12,
               1
      ))),0),
    ROUND(
      DD17*IF(DD17*$I17&lt;=$L17,$J17,$I17)*
      IF($P17=1,
         $S17/12,
         IF(DD$4=1,
            $T17/12,
            IF(DD$4=$P17,
               $U17/12,
               1
      ))),0)
))))</f>
        <v>-</v>
      </c>
      <c r="DF17" s="56" t="str">
        <f ca="1">IF($H17=リスト!$AA$4,"-",
   IF($C17="-","-",
     IF(DF$4&gt;$P17,"-",
       IF(DF$4=1,$E17,OFFSET(DF17,0,-2)-OFFSET(DF17,0,-1)
))))</f>
        <v>-</v>
      </c>
      <c r="DG17" s="57" t="str">
        <f>IF($H17=リスト!$AA$4,"-",
 IF($C17="-","-",
  IF(DF$4&gt;$P17,"-",
   CHOOSE(MATCH($H$3,リスト!$AE$3:$AE$5,0),
    ROUNDUP(
      DF17*IF(DF17*$I17&lt;=$L17,$J17,$I17)*
      IF($P17=1,
         $S17/12,
         IF(DF$4=1,
            $T17/12,
            IF(DF$4=$P17,
               $U17/12,
               1
      ))),0),
    ROUNDDOWN(
      DF17*IF(DF17*$I17&lt;=$L17,$J17,$I17)*
      IF($P17=1,
         $S17/12,
         IF(DF$4=1,
            $T17/12,
            IF(DF$4=$P17,
               $U17/12,
               1
      ))),0),
    ROUND(
      DF17*IF(DF17*$I17&lt;=$L17,$J17,$I17)*
      IF($P17=1,
         $S17/12,
         IF(DF$4=1,
            $T17/12,
            IF(DF$4=$P17,
               $U17/12,
               1
      ))),0)
))))</f>
        <v>-</v>
      </c>
      <c r="DH17" s="56" t="str">
        <f ca="1">IF($H17=リスト!$AA$4,"-",
   IF($C17="-","-",
     IF(DH$4&gt;$P17,"-",
       IF(DH$4=1,$E17,OFFSET(DH17,0,-2)-OFFSET(DH17,0,-1)
))))</f>
        <v>-</v>
      </c>
      <c r="DI17" s="57" t="str">
        <f>IF($H17=リスト!$AA$4,"-",
 IF($C17="-","-",
  IF(DH$4&gt;$P17,"-",
   CHOOSE(MATCH($H$3,リスト!$AE$3:$AE$5,0),
    ROUNDUP(
      DH17*IF(DH17*$I17&lt;=$L17,$J17,$I17)*
      IF($P17=1,
         $S17/12,
         IF(DH$4=1,
            $T17/12,
            IF(DH$4=$P17,
               $U17/12,
               1
      ))),0),
    ROUNDDOWN(
      DH17*IF(DH17*$I17&lt;=$L17,$J17,$I17)*
      IF($P17=1,
         $S17/12,
         IF(DH$4=1,
            $T17/12,
            IF(DH$4=$P17,
               $U17/12,
               1
      ))),0),
    ROUND(
      DH17*IF(DH17*$I17&lt;=$L17,$J17,$I17)*
      IF($P17=1,
         $S17/12,
         IF(DH$4=1,
            $T17/12,
            IF(DH$4=$P17,
               $U17/12,
               1
      ))),0)
))))</f>
        <v>-</v>
      </c>
      <c r="DJ17" s="56" t="str">
        <f ca="1">IF($H17=リスト!$AA$4,"-",
   IF($C17="-","-",
     IF(DJ$4&gt;$P17,"-",
       IF(DJ$4=1,$E17,OFFSET(DJ17,0,-2)-OFFSET(DJ17,0,-1)
))))</f>
        <v>-</v>
      </c>
      <c r="DK17" s="57" t="str">
        <f>IF($H17=リスト!$AA$4,"-",
 IF($C17="-","-",
  IF(DJ$4&gt;$P17,"-",
   CHOOSE(MATCH($H$3,リスト!$AE$3:$AE$5,0),
    ROUNDUP(
      DJ17*IF(DJ17*$I17&lt;=$L17,$J17,$I17)*
      IF($P17=1,
         $S17/12,
         IF(DJ$4=1,
            $T17/12,
            IF(DJ$4=$P17,
               $U17/12,
               1
      ))),0),
    ROUNDDOWN(
      DJ17*IF(DJ17*$I17&lt;=$L17,$J17,$I17)*
      IF($P17=1,
         $S17/12,
         IF(DJ$4=1,
            $T17/12,
            IF(DJ$4=$P17,
               $U17/12,
               1
      ))),0),
    ROUND(
      DJ17*IF(DJ17*$I17&lt;=$L17,$J17,$I17)*
      IF($P17=1,
         $S17/12,
         IF(DJ$4=1,
            $T17/12,
            IF(DJ$4=$P17,
               $U17/12,
               1
      ))),0)
))))</f>
        <v>-</v>
      </c>
      <c r="DL17" s="56" t="str">
        <f ca="1">IF($H17=リスト!$AA$4,"-",
   IF($C17="-","-",
     IF(DL$4&gt;$P17,"-",
       IF(DL$4=1,$E17,OFFSET(DL17,0,-2)-OFFSET(DL17,0,-1)
))))</f>
        <v>-</v>
      </c>
      <c r="DM17" s="57" t="str">
        <f>IF($H17=リスト!$AA$4,"-",
 IF($C17="-","-",
  IF(DL$4&gt;$P17,"-",
   CHOOSE(MATCH($H$3,リスト!$AE$3:$AE$5,0),
    ROUNDUP(
      DL17*IF(DL17*$I17&lt;=$L17,$J17,$I17)*
      IF($P17=1,
         $S17/12,
         IF(DL$4=1,
            $T17/12,
            IF(DL$4=$P17,
               $U17/12,
               1
      ))),0),
    ROUNDDOWN(
      DL17*IF(DL17*$I17&lt;=$L17,$J17,$I17)*
      IF($P17=1,
         $S17/12,
         IF(DL$4=1,
            $T17/12,
            IF(DL$4=$P17,
               $U17/12,
               1
      ))),0),
    ROUND(
      DL17*IF(DL17*$I17&lt;=$L17,$J17,$I17)*
      IF($P17=1,
         $S17/12,
         IF(DL$4=1,
            $T17/12,
            IF(DL$4=$P17,
               $U17/12,
               1
      ))),0)
))))</f>
        <v>-</v>
      </c>
      <c r="DN17" s="56" t="str">
        <f ca="1">IF($H17=リスト!$AA$4,"-",
   IF($C17="-","-",
     IF(DN$4&gt;$P17,"-",
       IF(DN$4=1,$E17,OFFSET(DN17,0,-2)-OFFSET(DN17,0,-1)
))))</f>
        <v>-</v>
      </c>
      <c r="DO17" s="57" t="str">
        <f>IF($H17=リスト!$AA$4,"-",
 IF($C17="-","-",
  IF(DN$4&gt;$P17,"-",
   CHOOSE(MATCH($H$3,リスト!$AE$3:$AE$5,0),
    ROUNDUP(
      DN17*IF(DN17*$I17&lt;=$L17,$J17,$I17)*
      IF($P17=1,
         $S17/12,
         IF(DN$4=1,
            $T17/12,
            IF(DN$4=$P17,
               $U17/12,
               1
      ))),0),
    ROUNDDOWN(
      DN17*IF(DN17*$I17&lt;=$L17,$J17,$I17)*
      IF($P17=1,
         $S17/12,
         IF(DN$4=1,
            $T17/12,
            IF(DN$4=$P17,
               $U17/12,
               1
      ))),0),
    ROUND(
      DN17*IF(DN17*$I17&lt;=$L17,$J17,$I17)*
      IF($P17=1,
         $S17/12,
         IF(DN$4=1,
            $T17/12,
            IF(DN$4=$P17,
               $U17/12,
               1
      ))),0)
))))</f>
        <v>-</v>
      </c>
      <c r="DP17" s="56" t="str">
        <f ca="1">IF($H17=リスト!$AA$4,"-",
   IF($C17="-","-",
     IF(DP$4&gt;$P17,"-",
       IF(DP$4=1,$E17,OFFSET(DP17,0,-2)-OFFSET(DP17,0,-1)
))))</f>
        <v>-</v>
      </c>
      <c r="DQ17" s="57" t="str">
        <f>IF($H17=リスト!$AA$4,"-",
 IF($C17="-","-",
  IF(DP$4&gt;$P17,"-",
   CHOOSE(MATCH($H$3,リスト!$AE$3:$AE$5,0),
    ROUNDUP(
      DP17*IF(DP17*$I17&lt;=$L17,$J17,$I17)*
      IF($P17=1,
         $S17/12,
         IF(DP$4=1,
            $T17/12,
            IF(DP$4=$P17,
               $U17/12,
               1
      ))),0),
    ROUNDDOWN(
      DP17*IF(DP17*$I17&lt;=$L17,$J17,$I17)*
      IF($P17=1,
         $S17/12,
         IF(DP$4=1,
            $T17/12,
            IF(DP$4=$P17,
               $U17/12,
               1
      ))),0),
    ROUND(
      DP17*IF(DP17*$I17&lt;=$L17,$J17,$I17)*
      IF($P17=1,
         $S17/12,
         IF(DP$4=1,
            $T17/12,
            IF(DP$4=$P17,
               $U17/12,
               1
      ))),0)
))))</f>
        <v>-</v>
      </c>
      <c r="DR17" s="56" t="str">
        <f ca="1">IF($H17=リスト!$AA$4,"-",
   IF($C17="-","-",
     IF(DR$4&gt;$P17,"-",
       IF(DR$4=1,$E17,OFFSET(DR17,0,-2)-OFFSET(DR17,0,-1)
))))</f>
        <v>-</v>
      </c>
      <c r="DS17" s="57" t="str">
        <f>IF($H17=リスト!$AA$4,"-",
 IF($C17="-","-",
  IF(DR$4&gt;$P17,"-",
   CHOOSE(MATCH($H$3,リスト!$AE$3:$AE$5,0),
    ROUNDUP(
      DR17*IF(DR17*$I17&lt;=$L17,$J17,$I17)*
      IF($P17=1,
         ($G17-$F17+1)/$Q17,
         IF(DR$4=1,
            ($M17-$F17+1)/$Q17,
            IF(DR$4=$P17,
               ($G17-$O17+1)/$R17,
               1
      ))),0),
    ROUNDDOWN(
      DR17*IF(DR17*$I17&lt;=$L17,$J17,$I17)*
      IF($P17=1,
         ($G17-$F17+1)/$Q17,
         IF(DR$4=1,
            ($M17-$F17+1)/$Q17,
            IF(DR$4=$P17,
               ($G17-$O17+1)/$R17,
               1
      ))),0),
    ROUND(
      DR17*IF(DR17*$I17&lt;=$L17,$J17,$I17)*
      IF($P17=1,
         ($G17-$F17+1)/$Q17,
         IF(DR$4=1,
            ($M17-$F17+1)/$Q17,
            IF(DR$4=$P17,
               ($G17-$O17+1)/$R17,
               1
      ))),0)
))))</f>
        <v>-</v>
      </c>
      <c r="DT17" s="56" t="str" cm="1">
        <f t="array" ref="DT17">IF($H17&lt;&gt;リスト!$AA$3,"-",$E17-SUMPRODUCT(IFERROR($Y17:$DS17*1,0), --(MOD(COLUMN($Y17:$DS17)-COLUMN($Y17),2)=0)))</f>
        <v>-</v>
      </c>
      <c r="DU17" s="56" t="str">
        <f>IF($H17&lt;&gt;リスト!$AA$4,"-",
    IF($H$3=リスト!$AE$3,$E17-ROUNDUP($E17*I17*$W17/12,0),
    IF($H$3=リスト!$AE$4,$E17-ROUNDDOWN($E17*I17*$W17/12,0),
    IF($H$3=リスト!$AE$5,$E17-ROUND($E17*I17*$W17/12,0),
    "-"))))</f>
        <v>-</v>
      </c>
    </row>
    <row r="18" spans="2:125">
      <c r="B18" s="54">
        <v>13</v>
      </c>
      <c r="C18" s="55" t="str">
        <f>IF('財産処分報告(災害)用'!$C18="","-",'財産処分報告(災害)用'!$C18)</f>
        <v>-</v>
      </c>
      <c r="D18" s="55" t="str">
        <f>'財産処分報告(災害)用'!$E18</f>
        <v>-</v>
      </c>
      <c r="E18" s="56" t="str">
        <f>IF('財産処分報告(災害)用'!$J18="","-",'財産処分報告(災害)用'!$J18)</f>
        <v>-</v>
      </c>
      <c r="F18" s="101" t="str">
        <f>IF('財産処分報告(災害)用'!$K18="","-",'財産処分報告(災害)用'!$K18)</f>
        <v>-</v>
      </c>
      <c r="G18" s="101" t="str">
        <f>IF('財産処分報告(災害)用'!$L18="","-",'財産処分報告(災害)用'!$L18)</f>
        <v>-</v>
      </c>
      <c r="H18" s="55" t="str">
        <f>IF('財産処分報告(災害)用'!$M18="","-",'財産処分報告(災害)用'!$M18)</f>
        <v>-</v>
      </c>
      <c r="I18" s="55" t="str">
        <f>IF(OR($D18="-",$H18="-"),"-",INDEX(リスト!$AG$2:$AI$101,MATCH($D18,リスト!$AG$2:$AG$101,0),MATCH($H18,リスト!$AG$2:$AI$2,0)))</f>
        <v>-</v>
      </c>
      <c r="J18" s="55" t="str">
        <f>IF(OR($D18="-",$H18="-"),"-",IF($H18=リスト!$AA$4,"-",INDEX(リスト!$AG$2:$AK$101,MATCH($D18,リスト!$AG$2:$AG$101,0),4)))</f>
        <v>-</v>
      </c>
      <c r="K18" s="55" t="str">
        <f>IF(OR($D18="-",$H18="-"),"-",IF($H18=リスト!$AA$4,"-",INDEX(リスト!$AG$2:$AK$101,MATCH($D18,リスト!$AG$2:$AG$101,0),5)))</f>
        <v>-</v>
      </c>
      <c r="L18" s="55" t="str">
        <f t="shared" si="0"/>
        <v>-</v>
      </c>
      <c r="M18" s="101" t="str">
        <f t="shared" si="1"/>
        <v>-</v>
      </c>
      <c r="N18" s="101" t="str">
        <f t="shared" si="2"/>
        <v>-</v>
      </c>
      <c r="O18" s="101" t="str">
        <f t="shared" si="3"/>
        <v>-</v>
      </c>
      <c r="P18" s="102" t="str">
        <f t="shared" si="4"/>
        <v>-</v>
      </c>
      <c r="Q18" s="115" t="str">
        <f t="shared" si="5"/>
        <v>-</v>
      </c>
      <c r="R18" s="116" t="str">
        <f t="shared" si="6"/>
        <v>-</v>
      </c>
      <c r="S18" s="102" t="str">
        <f t="shared" si="7"/>
        <v>-</v>
      </c>
      <c r="T18" s="102" t="str">
        <f t="shared" si="8"/>
        <v>-</v>
      </c>
      <c r="U18" s="102" t="str">
        <f t="shared" si="9"/>
        <v>-</v>
      </c>
      <c r="V18" s="102" t="str">
        <f t="shared" si="10"/>
        <v>-</v>
      </c>
      <c r="W18" s="55" t="str">
        <f t="shared" si="11"/>
        <v>-</v>
      </c>
      <c r="X18" s="56" t="str">
        <f ca="1">IF($H18=リスト!$AA$4,"-",
   IF($C18="-","-",
     IF(X$4&gt;$P18,"-",
       IF(X$4=1,$E18,OFFSET(X18,0,-2)-OFFSET(X18,0,-1)
))))</f>
        <v>-</v>
      </c>
      <c r="Y18" s="57" t="str">
        <f>IF($H18=リスト!$AA$4,"-",
 IF($C18="-","-",
  IF(X$4&gt;$P18,"-",
   CHOOSE(MATCH($H$3,リスト!$AE$3:$AE$5,0),
    ROUNDUP(
      X18*IF(X18*$I18&lt;=$L18,$J18,$I18)*
      IF($P18=1,
         $S18/12,
         IF(X$4=1,
            $T18/12,
            IF(X$4=$P18,
               $U18/12,
               1
      ))),0),
    ROUNDDOWN(
      X18*IF(X18*$I18&lt;=$L18,$J18,$I18)*
      IF($P18=1,
         $S18/12,
         IF(X$4=1,
            $T18/12,
            IF(X$4=$P18,
               $U18/12,
               1
      ))),0),
    ROUND(
      X18*IF(X18*$I18&lt;=$L18,$J18,$I18)*
      IF($P18=1,
         $S18/12,
         IF(X$4=1,
            $T18/12,
            IF(X$4=$P18,
               $U18/12,
               1
      ))),0)
))))</f>
        <v>-</v>
      </c>
      <c r="Z18" s="56" t="str">
        <f ca="1">IF($H18=リスト!$AA$4,"-",
   IF($C18="-","-",
     IF(Z$4&gt;$P18,"-",
       IF(Z$4=1,$E18,OFFSET(Z18,0,-2)-OFFSET(Z18,0,-1)
))))</f>
        <v>-</v>
      </c>
      <c r="AA18" s="57" t="str">
        <f>IF($H18=リスト!$AA$4,"-",
 IF($C18="-","-",
  IF(Z$4&gt;$P18,"-",
   CHOOSE(MATCH($H$3,リスト!$AE$3:$AE$5,0),
    ROUNDUP(
      Z18*IF(Z18*$I18&lt;=$L18,$J18,$I18)*
      IF($P18=1,
         $S18/12,
         IF(Z$4=1,
            $T18/12,
            IF(Z$4=$P18,
               $U18/12,
               1
      ))),0),
    ROUNDDOWN(
      Z18*IF(Z18*$I18&lt;=$L18,$J18,$I18)*
      IF($P18=1,
         $S18/12,
         IF(Z$4=1,
            $T18/12,
            IF(Z$4=$P18,
               $U18/12,
               1
      ))),0),
    ROUND(
      Z18*IF(Z18*$I18&lt;=$L18,$J18,$I18)*
      IF($P18=1,
         $S18/12,
         IF(Z$4=1,
            $T18/12,
            IF(Z$4=$P18,
               $U18/12,
               1
      ))),0)
))))</f>
        <v>-</v>
      </c>
      <c r="AB18" s="56" t="str">
        <f ca="1">IF($H18=リスト!$AA$4,"-",
   IF($C18="-","-",
     IF(AB$4&gt;$P18,"-",
       IF(AB$4=1,$E18,OFFSET(AB18,0,-2)-OFFSET(AB18,0,-1)
))))</f>
        <v>-</v>
      </c>
      <c r="AC18" s="57" t="str">
        <f>IF($H18=リスト!$AA$4,"-",
 IF($C18="-","-",
  IF(AB$4&gt;$P18,"-",
   CHOOSE(MATCH($H$3,リスト!$AE$3:$AE$5,0),
    ROUNDUP(
      AB18*IF(AB18*$I18&lt;=$L18,$J18,$I18)*
      IF($P18=1,
         $S18/12,
         IF(AB$4=1,
            $T18/12,
            IF(AB$4=$P18,
               $U18/12,
               1
      ))),0),
    ROUNDDOWN(
      AB18*IF(AB18*$I18&lt;=$L18,$J18,$I18)*
      IF($P18=1,
         $S18/12,
         IF(AB$4=1,
            $T18/12,
            IF(AB$4=$P18,
               $U18/12,
               1
      ))),0),
    ROUND(
      AB18*IF(AB18*$I18&lt;=$L18,$J18,$I18)*
      IF($P18=1,
         $S18/12,
         IF(AB$4=1,
            $T18/12,
            IF(AB$4=$P18,
               $U18/12,
               1
      ))),0)
))))</f>
        <v>-</v>
      </c>
      <c r="AD18" s="56" t="str">
        <f ca="1">IF($H18=リスト!$AA$4,"-",
   IF($C18="-","-",
     IF(AD$4&gt;$P18,"-",
       IF(AD$4=1,$E18,OFFSET(AD18,0,-2)-OFFSET(AD18,0,-1)
))))</f>
        <v>-</v>
      </c>
      <c r="AE18" s="57" t="str">
        <f>IF($H18=リスト!$AA$4,"-",
 IF($C18="-","-",
  IF(AD$4&gt;$P18,"-",
   CHOOSE(MATCH($H$3,リスト!$AE$3:$AE$5,0),
    ROUNDUP(
      AD18*IF(AD18*$I18&lt;=$L18,$J18,$I18)*
      IF($P18=1,
         $S18/12,
         IF(AD$4=1,
            $T18/12,
            IF(AD$4=$P18,
               $U18/12,
               1
      ))),0),
    ROUNDDOWN(
      AD18*IF(AD18*$I18&lt;=$L18,$J18,$I18)*
      IF($P18=1,
         $S18/12,
         IF(AD$4=1,
            $T18/12,
            IF(AD$4=$P18,
               $U18/12,
               1
      ))),0),
    ROUND(
      AD18*IF(AD18*$I18&lt;=$L18,$J18,$I18)*
      IF($P18=1,
         $S18/12,
         IF(AD$4=1,
            $T18/12,
            IF(AD$4=$P18,
               $U18/12,
               1
      ))),0)
))))</f>
        <v>-</v>
      </c>
      <c r="AF18" s="56" t="str">
        <f ca="1">IF($H18=リスト!$AA$4,"-",
   IF($C18="-","-",
     IF(AF$4&gt;$P18,"-",
       IF(AF$4=1,$E18,OFFSET(AF18,0,-2)-OFFSET(AF18,0,-1)
))))</f>
        <v>-</v>
      </c>
      <c r="AG18" s="57" t="str">
        <f>IF($H18=リスト!$AA$4,"-",
 IF($C18="-","-",
  IF(AF$4&gt;$P18,"-",
   CHOOSE(MATCH($H$3,リスト!$AE$3:$AE$5,0),
    ROUNDUP(
      AF18*IF(AF18*$I18&lt;=$L18,$J18,$I18)*
      IF($P18=1,
         $S18/12,
         IF(AF$4=1,
            $T18/12,
            IF(AF$4=$P18,
               $U18/12,
               1
      ))),0),
    ROUNDDOWN(
      AF18*IF(AF18*$I18&lt;=$L18,$J18,$I18)*
      IF($P18=1,
         $S18/12,
         IF(AF$4=1,
            $T18/12,
            IF(AF$4=$P18,
               $U18/12,
               1
      ))),0),
    ROUND(
      AF18*IF(AF18*$I18&lt;=$L18,$J18,$I18)*
      IF($P18=1,
         $S18/12,
         IF(AF$4=1,
            $T18/12,
            IF(AF$4=$P18,
               $U18/12,
               1
      ))),0)
))))</f>
        <v>-</v>
      </c>
      <c r="AH18" s="56" t="str">
        <f ca="1">IF($H18=リスト!$AA$4,"-",
   IF($C18="-","-",
     IF(AH$4&gt;$P18,"-",
       IF(AH$4=1,$E18,OFFSET(AH18,0,-2)-OFFSET(AH18,0,-1)
))))</f>
        <v>-</v>
      </c>
      <c r="AI18" s="57" t="str">
        <f>IF($H18=リスト!$AA$4,"-",
 IF($C18="-","-",
  IF(AH$4&gt;$P18,"-",
   CHOOSE(MATCH($H$3,リスト!$AE$3:$AE$5,0),
    ROUNDUP(
      AH18*IF(AH18*$I18&lt;=$L18,$J18,$I18)*
      IF($P18=1,
         $S18/12,
         IF(AH$4=1,
            $T18/12,
            IF(AH$4=$P18,
               $U18/12,
               1
      ))),0),
    ROUNDDOWN(
      AH18*IF(AH18*$I18&lt;=$L18,$J18,$I18)*
      IF($P18=1,
         $S18/12,
         IF(AH$4=1,
            $T18/12,
            IF(AH$4=$P18,
               $U18/12,
               1
      ))),0),
    ROUND(
      AH18*IF(AH18*$I18&lt;=$L18,$J18,$I18)*
      IF($P18=1,
         $S18/12,
         IF(AH$4=1,
            $T18/12,
            IF(AH$4=$P18,
               $U18/12,
               1
      ))),0)
))))</f>
        <v>-</v>
      </c>
      <c r="AJ18" s="56" t="str">
        <f ca="1">IF($H18=リスト!$AA$4,"-",
   IF($C18="-","-",
     IF(AJ$4&gt;$P18,"-",
       IF(AJ$4=1,$E18,OFFSET(AJ18,0,-2)-OFFSET(AJ18,0,-1)
))))</f>
        <v>-</v>
      </c>
      <c r="AK18" s="57" t="str">
        <f>IF($H18=リスト!$AA$4,"-",
 IF($C18="-","-",
  IF(AJ$4&gt;$P18,"-",
   CHOOSE(MATCH($H$3,リスト!$AE$3:$AE$5,0),
    ROUNDUP(
      AJ18*IF(AJ18*$I18&lt;=$L18,$J18,$I18)*
      IF($P18=1,
         $S18/12,
         IF(AJ$4=1,
            $T18/12,
            IF(AJ$4=$P18,
               $U18/12,
               1
      ))),0),
    ROUNDDOWN(
      AJ18*IF(AJ18*$I18&lt;=$L18,$J18,$I18)*
      IF($P18=1,
         $S18/12,
         IF(AJ$4=1,
            $T18/12,
            IF(AJ$4=$P18,
               $U18/12,
               1
      ))),0),
    ROUND(
      AJ18*IF(AJ18*$I18&lt;=$L18,$J18,$I18)*
      IF($P18=1,
         $S18/12,
         IF(AJ$4=1,
            $T18/12,
            IF(AJ$4=$P18,
               $U18/12,
               1
      ))),0)
))))</f>
        <v>-</v>
      </c>
      <c r="AL18" s="56" t="str">
        <f ca="1">IF($H18=リスト!$AA$4,"-",
   IF($C18="-","-",
     IF(AL$4&gt;$P18,"-",
       IF(AL$4=1,$E18,OFFSET(AL18,0,-2)-OFFSET(AL18,0,-1)
))))</f>
        <v>-</v>
      </c>
      <c r="AM18" s="57" t="str">
        <f>IF($H18=リスト!$AA$4,"-",
 IF($C18="-","-",
  IF(AL$4&gt;$P18,"-",
   CHOOSE(MATCH($H$3,リスト!$AE$3:$AE$5,0),
    ROUNDUP(
      AL18*IF(AL18*$I18&lt;=$L18,$J18,$I18)*
      IF($P18=1,
         $S18/12,
         IF(AL$4=1,
            $T18/12,
            IF(AL$4=$P18,
               $U18/12,
               1
      ))),0),
    ROUNDDOWN(
      AL18*IF(AL18*$I18&lt;=$L18,$J18,$I18)*
      IF($P18=1,
         $S18/12,
         IF(AL$4=1,
            $T18/12,
            IF(AL$4=$P18,
               $U18/12,
               1
      ))),0),
    ROUND(
      AL18*IF(AL18*$I18&lt;=$L18,$J18,$I18)*
      IF($P18=1,
         $S18/12,
         IF(AL$4=1,
            $T18/12,
            IF(AL$4=$P18,
               $U18/12,
               1
      ))),0)
))))</f>
        <v>-</v>
      </c>
      <c r="AN18" s="56" t="str">
        <f ca="1">IF($H18=リスト!$AA$4,"-",
   IF($C18="-","-",
     IF(AN$4&gt;$P18,"-",
       IF(AN$4=1,$E18,OFFSET(AN18,0,-2)-OFFSET(AN18,0,-1)
))))</f>
        <v>-</v>
      </c>
      <c r="AO18" s="57" t="str">
        <f>IF($H18=リスト!$AA$4,"-",
 IF($C18="-","-",
  IF(AN$4&gt;$P18,"-",
   CHOOSE(MATCH($H$3,リスト!$AE$3:$AE$5,0),
    ROUNDUP(
      AN18*IF(AN18*$I18&lt;=$L18,$J18,$I18)*
      IF($P18=1,
         $S18/12,
         IF(AN$4=1,
            $T18/12,
            IF(AN$4=$P18,
               $U18/12,
               1
      ))),0),
    ROUNDDOWN(
      AN18*IF(AN18*$I18&lt;=$L18,$J18,$I18)*
      IF($P18=1,
         $S18/12,
         IF(AN$4=1,
            $T18/12,
            IF(AN$4=$P18,
               $U18/12,
               1
      ))),0),
    ROUND(
      AN18*IF(AN18*$I18&lt;=$L18,$J18,$I18)*
      IF($P18=1,
         $S18/12,
         IF(AN$4=1,
            $T18/12,
            IF(AN$4=$P18,
               $U18/12,
               1
      ))),0)
))))</f>
        <v>-</v>
      </c>
      <c r="AP18" s="56" t="str">
        <f ca="1">IF($H18=リスト!$AA$4,"-",
   IF($C18="-","-",
     IF(AP$4&gt;$P18,"-",
       IF(AP$4=1,$E18,OFFSET(AP18,0,-2)-OFFSET(AP18,0,-1)
))))</f>
        <v>-</v>
      </c>
      <c r="AQ18" s="57" t="str">
        <f>IF($H18=リスト!$AA$4,"-",
 IF($C18="-","-",
  IF(AP$4&gt;$P18,"-",
   CHOOSE(MATCH($H$3,リスト!$AE$3:$AE$5,0),
    ROUNDUP(
      AP18*IF(AP18*$I18&lt;=$L18,$J18,$I18)*
      IF($P18=1,
         $S18/12,
         IF(AP$4=1,
            $T18/12,
            IF(AP$4=$P18,
               $U18/12,
               1
      ))),0),
    ROUNDDOWN(
      AP18*IF(AP18*$I18&lt;=$L18,$J18,$I18)*
      IF($P18=1,
         $S18/12,
         IF(AP$4=1,
            $T18/12,
            IF(AP$4=$P18,
               $U18/12,
               1
      ))),0),
    ROUND(
      AP18*IF(AP18*$I18&lt;=$L18,$J18,$I18)*
      IF($P18=1,
         $S18/12,
         IF(AP$4=1,
            $T18/12,
            IF(AP$4=$P18,
               $U18/12,
               1
      ))),0)
))))</f>
        <v>-</v>
      </c>
      <c r="AR18" s="56" t="str">
        <f ca="1">IF($H18=リスト!$AA$4,"-",
   IF($C18="-","-",
     IF(AR$4&gt;$P18,"-",
       IF(AR$4=1,$E18,OFFSET(AR18,0,-2)-OFFSET(AR18,0,-1)
))))</f>
        <v>-</v>
      </c>
      <c r="AS18" s="57" t="str">
        <f>IF($H18=リスト!$AA$4,"-",
 IF($C18="-","-",
  IF(AR$4&gt;$P18,"-",
   CHOOSE(MATCH($H$3,リスト!$AE$3:$AE$5,0),
    ROUNDUP(
      AR18*IF(AR18*$I18&lt;=$L18,$J18,$I18)*
      IF($P18=1,
         $S18/12,
         IF(AR$4=1,
            $T18/12,
            IF(AR$4=$P18,
               $U18/12,
               1
      ))),0),
    ROUNDDOWN(
      AR18*IF(AR18*$I18&lt;=$L18,$J18,$I18)*
      IF($P18=1,
         $S18/12,
         IF(AR$4=1,
            $T18/12,
            IF(AR$4=$P18,
               $U18/12,
               1
      ))),0),
    ROUND(
      AR18*IF(AR18*$I18&lt;=$L18,$J18,$I18)*
      IF($P18=1,
         $S18/12,
         IF(AR$4=1,
            $T18/12,
            IF(AR$4=$P18,
               $U18/12,
               1
      ))),0)
))))</f>
        <v>-</v>
      </c>
      <c r="AT18" s="56" t="str">
        <f ca="1">IF($H18=リスト!$AA$4,"-",
   IF($C18="-","-",
     IF(AT$4&gt;$P18,"-",
       IF(AT$4=1,$E18,OFFSET(AT18,0,-2)-OFFSET(AT18,0,-1)
))))</f>
        <v>-</v>
      </c>
      <c r="AU18" s="57" t="str">
        <f>IF($H18=リスト!$AA$4,"-",
 IF($C18="-","-",
  IF(AT$4&gt;$P18,"-",
   CHOOSE(MATCH($H$3,リスト!$AE$3:$AE$5,0),
    ROUNDUP(
      AT18*IF(AT18*$I18&lt;=$L18,$J18,$I18)*
      IF($P18=1,
         $S18/12,
         IF(AT$4=1,
            $T18/12,
            IF(AT$4=$P18,
               $U18/12,
               1
      ))),0),
    ROUNDDOWN(
      AT18*IF(AT18*$I18&lt;=$L18,$J18,$I18)*
      IF($P18=1,
         $S18/12,
         IF(AT$4=1,
            $T18/12,
            IF(AT$4=$P18,
               $U18/12,
               1
      ))),0),
    ROUND(
      AT18*IF(AT18*$I18&lt;=$L18,$J18,$I18)*
      IF($P18=1,
         $S18/12,
         IF(AT$4=1,
            $T18/12,
            IF(AT$4=$P18,
               $U18/12,
               1
      ))),0)
))))</f>
        <v>-</v>
      </c>
      <c r="AV18" s="56" t="str">
        <f ca="1">IF($H18=リスト!$AA$4,"-",
   IF($C18="-","-",
     IF(AV$4&gt;$P18,"-",
       IF(AV$4=1,$E18,OFFSET(AV18,0,-2)-OFFSET(AV18,0,-1)
))))</f>
        <v>-</v>
      </c>
      <c r="AW18" s="57" t="str">
        <f>IF($H18=リスト!$AA$4,"-",
 IF($C18="-","-",
  IF(AV$4&gt;$P18,"-",
   CHOOSE(MATCH($H$3,リスト!$AE$3:$AE$5,0),
    ROUNDUP(
      AV18*IF(AV18*$I18&lt;=$L18,$J18,$I18)*
      IF($P18=1,
         $S18/12,
         IF(AV$4=1,
            $T18/12,
            IF(AV$4=$P18,
               $U18/12,
               1
      ))),0),
    ROUNDDOWN(
      AV18*IF(AV18*$I18&lt;=$L18,$J18,$I18)*
      IF($P18=1,
         $S18/12,
         IF(AV$4=1,
            $T18/12,
            IF(AV$4=$P18,
               $U18/12,
               1
      ))),0),
    ROUND(
      AV18*IF(AV18*$I18&lt;=$L18,$J18,$I18)*
      IF($P18=1,
         $S18/12,
         IF(AV$4=1,
            $T18/12,
            IF(AV$4=$P18,
               $U18/12,
               1
      ))),0)
))))</f>
        <v>-</v>
      </c>
      <c r="AX18" s="56" t="str">
        <f ca="1">IF($H18=リスト!$AA$4,"-",
   IF($C18="-","-",
     IF(AX$4&gt;$P18,"-",
       IF(AX$4=1,$E18,OFFSET(AX18,0,-2)-OFFSET(AX18,0,-1)
))))</f>
        <v>-</v>
      </c>
      <c r="AY18" s="57" t="str">
        <f>IF($H18=リスト!$AA$4,"-",
 IF($C18="-","-",
  IF(AX$4&gt;$P18,"-",
   CHOOSE(MATCH($H$3,リスト!$AE$3:$AE$5,0),
    ROUNDUP(
      AX18*IF(AX18*$I18&lt;=$L18,$J18,$I18)*
      IF($P18=1,
         $S18/12,
         IF(AX$4=1,
            $T18/12,
            IF(AX$4=$P18,
               $U18/12,
               1
      ))),0),
    ROUNDDOWN(
      AX18*IF(AX18*$I18&lt;=$L18,$J18,$I18)*
      IF($P18=1,
         $S18/12,
         IF(AX$4=1,
            $T18/12,
            IF(AX$4=$P18,
               $U18/12,
               1
      ))),0),
    ROUND(
      AX18*IF(AX18*$I18&lt;=$L18,$J18,$I18)*
      IF($P18=1,
         $S18/12,
         IF(AX$4=1,
            $T18/12,
            IF(AX$4=$P18,
               $U18/12,
               1
      ))),0)
))))</f>
        <v>-</v>
      </c>
      <c r="AZ18" s="56" t="str">
        <f ca="1">IF($H18=リスト!$AA$4,"-",
   IF($C18="-","-",
     IF(AZ$4&gt;$P18,"-",
       IF(AZ$4=1,$E18,OFFSET(AZ18,0,-2)-OFFSET(AZ18,0,-1)
))))</f>
        <v>-</v>
      </c>
      <c r="BA18" s="57" t="str">
        <f>IF($H18=リスト!$AA$4,"-",
 IF($C18="-","-",
  IF(AZ$4&gt;$P18,"-",
   CHOOSE(MATCH($H$3,リスト!$AE$3:$AE$5,0),
    ROUNDUP(
      AZ18*IF(AZ18*$I18&lt;=$L18,$J18,$I18)*
      IF($P18=1,
         $S18/12,
         IF(AZ$4=1,
            $T18/12,
            IF(AZ$4=$P18,
               $U18/12,
               1
      ))),0),
    ROUNDDOWN(
      AZ18*IF(AZ18*$I18&lt;=$L18,$J18,$I18)*
      IF($P18=1,
         $S18/12,
         IF(AZ$4=1,
            $T18/12,
            IF(AZ$4=$P18,
               $U18/12,
               1
      ))),0),
    ROUND(
      AZ18*IF(AZ18*$I18&lt;=$L18,$J18,$I18)*
      IF($P18=1,
         $S18/12,
         IF(AZ$4=1,
            $T18/12,
            IF(AZ$4=$P18,
               $U18/12,
               1
      ))),0)
))))</f>
        <v>-</v>
      </c>
      <c r="BB18" s="56" t="str">
        <f ca="1">IF($H18=リスト!$AA$4,"-",
   IF($C18="-","-",
     IF(BB$4&gt;$P18,"-",
       IF(BB$4=1,$E18,OFFSET(BB18,0,-2)-OFFSET(BB18,0,-1)
))))</f>
        <v>-</v>
      </c>
      <c r="BC18" s="57" t="str">
        <f>IF($H18=リスト!$AA$4,"-",
 IF($C18="-","-",
  IF(BB$4&gt;$P18,"-",
   CHOOSE(MATCH($H$3,リスト!$AE$3:$AE$5,0),
    ROUNDUP(
      BB18*IF(BB18*$I18&lt;=$L18,$J18,$I18)*
      IF($P18=1,
         $S18/12,
         IF(BB$4=1,
            $T18/12,
            IF(BB$4=$P18,
               $U18/12,
               1
      ))),0),
    ROUNDDOWN(
      BB18*IF(BB18*$I18&lt;=$L18,$J18,$I18)*
      IF($P18=1,
         $S18/12,
         IF(BB$4=1,
            $T18/12,
            IF(BB$4=$P18,
               $U18/12,
               1
      ))),0),
    ROUND(
      BB18*IF(BB18*$I18&lt;=$L18,$J18,$I18)*
      IF($P18=1,
         $S18/12,
         IF(BB$4=1,
            $T18/12,
            IF(BB$4=$P18,
               $U18/12,
               1
      ))),0)
))))</f>
        <v>-</v>
      </c>
      <c r="BD18" s="56" t="str">
        <f ca="1">IF($H18=リスト!$AA$4,"-",
   IF($C18="-","-",
     IF(BD$4&gt;$P18,"-",
       IF(BD$4=1,$E18,OFFSET(BD18,0,-2)-OFFSET(BD18,0,-1)
))))</f>
        <v>-</v>
      </c>
      <c r="BE18" s="57" t="str">
        <f>IF($H18=リスト!$AA$4,"-",
 IF($C18="-","-",
  IF(BD$4&gt;$P18,"-",
   CHOOSE(MATCH($H$3,リスト!$AE$3:$AE$5,0),
    ROUNDUP(
      BD18*IF(BD18*$I18&lt;=$L18,$J18,$I18)*
      IF($P18=1,
         $S18/12,
         IF(BD$4=1,
            $T18/12,
            IF(BD$4=$P18,
               $U18/12,
               1
      ))),0),
    ROUNDDOWN(
      BD18*IF(BD18*$I18&lt;=$L18,$J18,$I18)*
      IF($P18=1,
         $S18/12,
         IF(BD$4=1,
            $T18/12,
            IF(BD$4=$P18,
               $U18/12,
               1
      ))),0),
    ROUND(
      BD18*IF(BD18*$I18&lt;=$L18,$J18,$I18)*
      IF($P18=1,
         $S18/12,
         IF(BD$4=1,
            $T18/12,
            IF(BD$4=$P18,
               $U18/12,
               1
      ))),0)
))))</f>
        <v>-</v>
      </c>
      <c r="BF18" s="56" t="str">
        <f ca="1">IF($H18=リスト!$AA$4,"-",
   IF($C18="-","-",
     IF(BF$4&gt;$P18,"-",
       IF(BF$4=1,$E18,OFFSET(BF18,0,-2)-OFFSET(BF18,0,-1)
))))</f>
        <v>-</v>
      </c>
      <c r="BG18" s="57" t="str">
        <f>IF($H18=リスト!$AA$4,"-",
 IF($C18="-","-",
  IF(BF$4&gt;$P18,"-",
   CHOOSE(MATCH($H$3,リスト!$AE$3:$AE$5,0),
    ROUNDUP(
      BF18*IF(BF18*$I18&lt;=$L18,$J18,$I18)*
      IF($P18=1,
         $S18/12,
         IF(BF$4=1,
            $T18/12,
            IF(BF$4=$P18,
               $U18/12,
               1
      ))),0),
    ROUNDDOWN(
      BF18*IF(BF18*$I18&lt;=$L18,$J18,$I18)*
      IF($P18=1,
         $S18/12,
         IF(BF$4=1,
            $T18/12,
            IF(BF$4=$P18,
               $U18/12,
               1
      ))),0),
    ROUND(
      BF18*IF(BF18*$I18&lt;=$L18,$J18,$I18)*
      IF($P18=1,
         $S18/12,
         IF(BF$4=1,
            $T18/12,
            IF(BF$4=$P18,
               $U18/12,
               1
      ))),0)
))))</f>
        <v>-</v>
      </c>
      <c r="BH18" s="56" t="str">
        <f ca="1">IF($H18=リスト!$AA$4,"-",
   IF($C18="-","-",
     IF(BH$4&gt;$P18,"-",
       IF(BH$4=1,$E18,OFFSET(BH18,0,-2)-OFFSET(BH18,0,-1)
))))</f>
        <v>-</v>
      </c>
      <c r="BI18" s="57" t="str">
        <f>IF($H18=リスト!$AA$4,"-",
 IF($C18="-","-",
  IF(BH$4&gt;$P18,"-",
   CHOOSE(MATCH($H$3,リスト!$AE$3:$AE$5,0),
    ROUNDUP(
      BH18*IF(BH18*$I18&lt;=$L18,$J18,$I18)*
      IF($P18=1,
         $S18/12,
         IF(BH$4=1,
            $T18/12,
            IF(BH$4=$P18,
               $U18/12,
               1
      ))),0),
    ROUNDDOWN(
      BH18*IF(BH18*$I18&lt;=$L18,$J18,$I18)*
      IF($P18=1,
         $S18/12,
         IF(BH$4=1,
            $T18/12,
            IF(BH$4=$P18,
               $U18/12,
               1
      ))),0),
    ROUND(
      BH18*IF(BH18*$I18&lt;=$L18,$J18,$I18)*
      IF($P18=1,
         $S18/12,
         IF(BH$4=1,
            $T18/12,
            IF(BH$4=$P18,
               $U18/12,
               1
      ))),0)
))))</f>
        <v>-</v>
      </c>
      <c r="BJ18" s="56" t="str">
        <f ca="1">IF($H18=リスト!$AA$4,"-",
   IF($C18="-","-",
     IF(BJ$4&gt;$P18,"-",
       IF(BJ$4=1,$E18,OFFSET(BJ18,0,-2)-OFFSET(BJ18,0,-1)
))))</f>
        <v>-</v>
      </c>
      <c r="BK18" s="57" t="str">
        <f>IF($H18=リスト!$AA$4,"-",
 IF($C18="-","-",
  IF(BJ$4&gt;$P18,"-",
   CHOOSE(MATCH($H$3,リスト!$AE$3:$AE$5,0),
    ROUNDUP(
      BJ18*IF(BJ18*$I18&lt;=$L18,$J18,$I18)*
      IF($P18=1,
         $S18/12,
         IF(BJ$4=1,
            $T18/12,
            IF(BJ$4=$P18,
               $U18/12,
               1
      ))),0),
    ROUNDDOWN(
      BJ18*IF(BJ18*$I18&lt;=$L18,$J18,$I18)*
      IF($P18=1,
         $S18/12,
         IF(BJ$4=1,
            $T18/12,
            IF(BJ$4=$P18,
               $U18/12,
               1
      ))),0),
    ROUND(
      BJ18*IF(BJ18*$I18&lt;=$L18,$J18,$I18)*
      IF($P18=1,
         $S18/12,
         IF(BJ$4=1,
            $T18/12,
            IF(BJ$4=$P18,
               $U18/12,
               1
      ))),0)
))))</f>
        <v>-</v>
      </c>
      <c r="BL18" s="56" t="str">
        <f ca="1">IF($H18=リスト!$AA$4,"-",
   IF($C18="-","-",
     IF(BL$4&gt;$P18,"-",
       IF(BL$4=1,$E18,OFFSET(BL18,0,-2)-OFFSET(BL18,0,-1)
))))</f>
        <v>-</v>
      </c>
      <c r="BM18" s="57" t="str">
        <f>IF($H18=リスト!$AA$4,"-",
 IF($C18="-","-",
  IF(BL$4&gt;$P18,"-",
   CHOOSE(MATCH($H$3,リスト!$AE$3:$AE$5,0),
    ROUNDUP(
      BL18*IF(BL18*$I18&lt;=$L18,$J18,$I18)*
      IF($P18=1,
         $S18/12,
         IF(BL$4=1,
            $T18/12,
            IF(BL$4=$P18,
               $U18/12,
               1
      ))),0),
    ROUNDDOWN(
      BL18*IF(BL18*$I18&lt;=$L18,$J18,$I18)*
      IF($P18=1,
         $S18/12,
         IF(BL$4=1,
            $T18/12,
            IF(BL$4=$P18,
               $U18/12,
               1
      ))),0),
    ROUND(
      BL18*IF(BL18*$I18&lt;=$L18,$J18,$I18)*
      IF($P18=1,
         $S18/12,
         IF(BL$4=1,
            $T18/12,
            IF(BL$4=$P18,
               $U18/12,
               1
      ))),0)
))))</f>
        <v>-</v>
      </c>
      <c r="BN18" s="56" t="str">
        <f ca="1">IF($H18=リスト!$AA$4,"-",
   IF($C18="-","-",
     IF(BN$4&gt;$P18,"-",
       IF(BN$4=1,$E18,OFFSET(BN18,0,-2)-OFFSET(BN18,0,-1)
))))</f>
        <v>-</v>
      </c>
      <c r="BO18" s="57" t="str">
        <f>IF($H18=リスト!$AA$4,"-",
 IF($C18="-","-",
  IF(BN$4&gt;$P18,"-",
   CHOOSE(MATCH($H$3,リスト!$AE$3:$AE$5,0),
    ROUNDUP(
      BN18*IF(BN18*$I18&lt;=$L18,$J18,$I18)*
      IF($P18=1,
         $S18/12,
         IF(BN$4=1,
            $T18/12,
            IF(BN$4=$P18,
               $U18/12,
               1
      ))),0),
    ROUNDDOWN(
      BN18*IF(BN18*$I18&lt;=$L18,$J18,$I18)*
      IF($P18=1,
         $S18/12,
         IF(BN$4=1,
            $T18/12,
            IF(BN$4=$P18,
               $U18/12,
               1
      ))),0),
    ROUND(
      BN18*IF(BN18*$I18&lt;=$L18,$J18,$I18)*
      IF($P18=1,
         $S18/12,
         IF(BN$4=1,
            $T18/12,
            IF(BN$4=$P18,
               $U18/12,
               1
      ))),0)
))))</f>
        <v>-</v>
      </c>
      <c r="BP18" s="56" t="str">
        <f ca="1">IF($H18=リスト!$AA$4,"-",
   IF($C18="-","-",
     IF(BP$4&gt;$P18,"-",
       IF(BP$4=1,$E18,OFFSET(BP18,0,-2)-OFFSET(BP18,0,-1)
))))</f>
        <v>-</v>
      </c>
      <c r="BQ18" s="57" t="str">
        <f>IF($H18=リスト!$AA$4,"-",
 IF($C18="-","-",
  IF(BP$4&gt;$P18,"-",
   CHOOSE(MATCH($H$3,リスト!$AE$3:$AE$5,0),
    ROUNDUP(
      BP18*IF(BP18*$I18&lt;=$L18,$J18,$I18)*
      IF($P18=1,
         $S18/12,
         IF(BP$4=1,
            $T18/12,
            IF(BP$4=$P18,
               $U18/12,
               1
      ))),0),
    ROUNDDOWN(
      BP18*IF(BP18*$I18&lt;=$L18,$J18,$I18)*
      IF($P18=1,
         $S18/12,
         IF(BP$4=1,
            $T18/12,
            IF(BP$4=$P18,
               $U18/12,
               1
      ))),0),
    ROUND(
      BP18*IF(BP18*$I18&lt;=$L18,$J18,$I18)*
      IF($P18=1,
         $S18/12,
         IF(BP$4=1,
            $T18/12,
            IF(BP$4=$P18,
               $U18/12,
               1
      ))),0)
))))</f>
        <v>-</v>
      </c>
      <c r="BR18" s="56" t="str">
        <f ca="1">IF($H18=リスト!$AA$4,"-",
   IF($C18="-","-",
     IF(BR$4&gt;$P18,"-",
       IF(BR$4=1,$E18,OFFSET(BR18,0,-2)-OFFSET(BR18,0,-1)
))))</f>
        <v>-</v>
      </c>
      <c r="BS18" s="57" t="str">
        <f>IF($H18=リスト!$AA$4,"-",
 IF($C18="-","-",
  IF(BR$4&gt;$P18,"-",
   CHOOSE(MATCH($H$3,リスト!$AE$3:$AE$5,0),
    ROUNDUP(
      BR18*IF(BR18*$I18&lt;=$L18,$J18,$I18)*
      IF($P18=1,
         $S18/12,
         IF(BR$4=1,
            $T18/12,
            IF(BR$4=$P18,
               $U18/12,
               1
      ))),0),
    ROUNDDOWN(
      BR18*IF(BR18*$I18&lt;=$L18,$J18,$I18)*
      IF($P18=1,
         $S18/12,
         IF(BR$4=1,
            $T18/12,
            IF(BR$4=$P18,
               $U18/12,
               1
      ))),0),
    ROUND(
      BR18*IF(BR18*$I18&lt;=$L18,$J18,$I18)*
      IF($P18=1,
         $S18/12,
         IF(BR$4=1,
            $T18/12,
            IF(BR$4=$P18,
               $U18/12,
               1
      ))),0)
))))</f>
        <v>-</v>
      </c>
      <c r="BT18" s="56" t="str">
        <f ca="1">IF($H18=リスト!$AA$4,"-",
   IF($C18="-","-",
     IF(BT$4&gt;$P18,"-",
       IF(BT$4=1,$E18,OFFSET(BT18,0,-2)-OFFSET(BT18,0,-1)
))))</f>
        <v>-</v>
      </c>
      <c r="BU18" s="57" t="str">
        <f>IF($H18=リスト!$AA$4,"-",
 IF($C18="-","-",
  IF(BT$4&gt;$P18,"-",
   CHOOSE(MATCH($H$3,リスト!$AE$3:$AE$5,0),
    ROUNDUP(
      BT18*IF(BT18*$I18&lt;=$L18,$J18,$I18)*
      IF($P18=1,
         $S18/12,
         IF(BT$4=1,
            $T18/12,
            IF(BT$4=$P18,
               $U18/12,
               1
      ))),0),
    ROUNDDOWN(
      BT18*IF(BT18*$I18&lt;=$L18,$J18,$I18)*
      IF($P18=1,
         $S18/12,
         IF(BT$4=1,
            $T18/12,
            IF(BT$4=$P18,
               $U18/12,
               1
      ))),0),
    ROUND(
      BT18*IF(BT18*$I18&lt;=$L18,$J18,$I18)*
      IF($P18=1,
         $S18/12,
         IF(BT$4=1,
            $T18/12,
            IF(BT$4=$P18,
               $U18/12,
               1
      ))),0)
))))</f>
        <v>-</v>
      </c>
      <c r="BV18" s="56" t="str">
        <f ca="1">IF($H18=リスト!$AA$4,"-",
   IF($C18="-","-",
     IF(BV$4&gt;$P18,"-",
       IF(BV$4=1,$E18,OFFSET(BV18,0,-2)-OFFSET(BV18,0,-1)
))))</f>
        <v>-</v>
      </c>
      <c r="BW18" s="57" t="str">
        <f>IF($H18=リスト!$AA$4,"-",
 IF($C18="-","-",
  IF(BV$4&gt;$P18,"-",
   CHOOSE(MATCH($H$3,リスト!$AE$3:$AE$5,0),
    ROUNDUP(
      BV18*IF(BV18*$I18&lt;=$L18,$J18,$I18)*
      IF($P18=1,
         $S18/12,
         IF(BV$4=1,
            $T18/12,
            IF(BV$4=$P18,
               $U18/12,
               1
      ))),0),
    ROUNDDOWN(
      BV18*IF(BV18*$I18&lt;=$L18,$J18,$I18)*
      IF($P18=1,
         $S18/12,
         IF(BV$4=1,
            $T18/12,
            IF(BV$4=$P18,
               $U18/12,
               1
      ))),0),
    ROUND(
      BV18*IF(BV18*$I18&lt;=$L18,$J18,$I18)*
      IF($P18=1,
         $S18/12,
         IF(BV$4=1,
            $T18/12,
            IF(BV$4=$P18,
               $U18/12,
               1
      ))),0)
))))</f>
        <v>-</v>
      </c>
      <c r="BX18" s="56" t="str">
        <f ca="1">IF($H18=リスト!$AA$4,"-",
   IF($C18="-","-",
     IF(BX$4&gt;$P18,"-",
       IF(BX$4=1,$E18,OFFSET(BX18,0,-2)-OFFSET(BX18,0,-1)
))))</f>
        <v>-</v>
      </c>
      <c r="BY18" s="57" t="str">
        <f>IF($H18=リスト!$AA$4,"-",
 IF($C18="-","-",
  IF(BX$4&gt;$P18,"-",
   CHOOSE(MATCH($H$3,リスト!$AE$3:$AE$5,0),
    ROUNDUP(
      BX18*IF(BX18*$I18&lt;=$L18,$J18,$I18)*
      IF($P18=1,
         $S18/12,
         IF(BX$4=1,
            $T18/12,
            IF(BX$4=$P18,
               $U18/12,
               1
      ))),0),
    ROUNDDOWN(
      BX18*IF(BX18*$I18&lt;=$L18,$J18,$I18)*
      IF($P18=1,
         $S18/12,
         IF(BX$4=1,
            $T18/12,
            IF(BX$4=$P18,
               $U18/12,
               1
      ))),0),
    ROUND(
      BX18*IF(BX18*$I18&lt;=$L18,$J18,$I18)*
      IF($P18=1,
         $S18/12,
         IF(BX$4=1,
            $T18/12,
            IF(BX$4=$P18,
               $U18/12,
               1
      ))),0)
))))</f>
        <v>-</v>
      </c>
      <c r="BZ18" s="56" t="str">
        <f ca="1">IF($H18=リスト!$AA$4,"-",
   IF($C18="-","-",
     IF(BZ$4&gt;$P18,"-",
       IF(BZ$4=1,$E18,OFFSET(BZ18,0,-2)-OFFSET(BZ18,0,-1)
))))</f>
        <v>-</v>
      </c>
      <c r="CA18" s="57" t="str">
        <f>IF($H18=リスト!$AA$4,"-",
 IF($C18="-","-",
  IF(BZ$4&gt;$P18,"-",
   CHOOSE(MATCH($H$3,リスト!$AE$3:$AE$5,0),
    ROUNDUP(
      BZ18*IF(BZ18*$I18&lt;=$L18,$J18,$I18)*
      IF($P18=1,
         $S18/12,
         IF(BZ$4=1,
            $T18/12,
            IF(BZ$4=$P18,
               $U18/12,
               1
      ))),0),
    ROUNDDOWN(
      BZ18*IF(BZ18*$I18&lt;=$L18,$J18,$I18)*
      IF($P18=1,
         $S18/12,
         IF(BZ$4=1,
            $T18/12,
            IF(BZ$4=$P18,
               $U18/12,
               1
      ))),0),
    ROUND(
      BZ18*IF(BZ18*$I18&lt;=$L18,$J18,$I18)*
      IF($P18=1,
         $S18/12,
         IF(BZ$4=1,
            $T18/12,
            IF(BZ$4=$P18,
               $U18/12,
               1
      ))),0)
))))</f>
        <v>-</v>
      </c>
      <c r="CB18" s="56" t="str">
        <f ca="1">IF($H18=リスト!$AA$4,"-",
   IF($C18="-","-",
     IF(CB$4&gt;$P18,"-",
       IF(CB$4=1,$E18,OFFSET(CB18,0,-2)-OFFSET(CB18,0,-1)
))))</f>
        <v>-</v>
      </c>
      <c r="CC18" s="57" t="str">
        <f>IF($H18=リスト!$AA$4,"-",
 IF($C18="-","-",
  IF(CB$4&gt;$P18,"-",
   CHOOSE(MATCH($H$3,リスト!$AE$3:$AE$5,0),
    ROUNDUP(
      CB18*IF(CB18*$I18&lt;=$L18,$J18,$I18)*
      IF($P18=1,
         $S18/12,
         IF(CB$4=1,
            $T18/12,
            IF(CB$4=$P18,
               $U18/12,
               1
      ))),0),
    ROUNDDOWN(
      CB18*IF(CB18*$I18&lt;=$L18,$J18,$I18)*
      IF($P18=1,
         $S18/12,
         IF(CB$4=1,
            $T18/12,
            IF(CB$4=$P18,
               $U18/12,
               1
      ))),0),
    ROUND(
      CB18*IF(CB18*$I18&lt;=$L18,$J18,$I18)*
      IF($P18=1,
         $S18/12,
         IF(CB$4=1,
            $T18/12,
            IF(CB$4=$P18,
               $U18/12,
               1
      ))),0)
))))</f>
        <v>-</v>
      </c>
      <c r="CD18" s="56" t="str">
        <f ca="1">IF($H18=リスト!$AA$4,"-",
   IF($C18="-","-",
     IF(CD$4&gt;$P18,"-",
       IF(CD$4=1,$E18,OFFSET(CD18,0,-2)-OFFSET(CD18,0,-1)
))))</f>
        <v>-</v>
      </c>
      <c r="CE18" s="57" t="str">
        <f>IF($H18=リスト!$AA$4,"-",
 IF($C18="-","-",
  IF(CD$4&gt;$P18,"-",
   CHOOSE(MATCH($H$3,リスト!$AE$3:$AE$5,0),
    ROUNDUP(
      CD18*IF(CD18*$I18&lt;=$L18,$J18,$I18)*
      IF($P18=1,
         $S18/12,
         IF(CD$4=1,
            $T18/12,
            IF(CD$4=$P18,
               $U18/12,
               1
      ))),0),
    ROUNDDOWN(
      CD18*IF(CD18*$I18&lt;=$L18,$J18,$I18)*
      IF($P18=1,
         $S18/12,
         IF(CD$4=1,
            $T18/12,
            IF(CD$4=$P18,
               $U18/12,
               1
      ))),0),
    ROUND(
      CD18*IF(CD18*$I18&lt;=$L18,$J18,$I18)*
      IF($P18=1,
         $S18/12,
         IF(CD$4=1,
            $T18/12,
            IF(CD$4=$P18,
               $U18/12,
               1
      ))),0)
))))</f>
        <v>-</v>
      </c>
      <c r="CF18" s="56" t="str">
        <f ca="1">IF($H18=リスト!$AA$4,"-",
   IF($C18="-","-",
     IF(CF$4&gt;$P18,"-",
       IF(CF$4=1,$E18,OFFSET(CF18,0,-2)-OFFSET(CF18,0,-1)
))))</f>
        <v>-</v>
      </c>
      <c r="CG18" s="57" t="str">
        <f>IF($H18=リスト!$AA$4,"-",
 IF($C18="-","-",
  IF(CF$4&gt;$P18,"-",
   CHOOSE(MATCH($H$3,リスト!$AE$3:$AE$5,0),
    ROUNDUP(
      CF18*IF(CF18*$I18&lt;=$L18,$J18,$I18)*
      IF($P18=1,
         $S18/12,
         IF(CF$4=1,
            $T18/12,
            IF(CF$4=$P18,
               $U18/12,
               1
      ))),0),
    ROUNDDOWN(
      CF18*IF(CF18*$I18&lt;=$L18,$J18,$I18)*
      IF($P18=1,
         $S18/12,
         IF(CF$4=1,
            $T18/12,
            IF(CF$4=$P18,
               $U18/12,
               1
      ))),0),
    ROUND(
      CF18*IF(CF18*$I18&lt;=$L18,$J18,$I18)*
      IF($P18=1,
         $S18/12,
         IF(CF$4=1,
            $T18/12,
            IF(CF$4=$P18,
               $U18/12,
               1
      ))),0)
))))</f>
        <v>-</v>
      </c>
      <c r="CH18" s="56" t="str">
        <f ca="1">IF($H18=リスト!$AA$4,"-",
   IF($C18="-","-",
     IF(CH$4&gt;$P18,"-",
       IF(CH$4=1,$E18,OFFSET(CH18,0,-2)-OFFSET(CH18,0,-1)
))))</f>
        <v>-</v>
      </c>
      <c r="CI18" s="57" t="str">
        <f>IF($H18=リスト!$AA$4,"-",
 IF($C18="-","-",
  IF(CH$4&gt;$P18,"-",
   CHOOSE(MATCH($H$3,リスト!$AE$3:$AE$5,0),
    ROUNDUP(
      CH18*IF(CH18*$I18&lt;=$L18,$J18,$I18)*
      IF($P18=1,
         $S18/12,
         IF(CH$4=1,
            $T18/12,
            IF(CH$4=$P18,
               $U18/12,
               1
      ))),0),
    ROUNDDOWN(
      CH18*IF(CH18*$I18&lt;=$L18,$J18,$I18)*
      IF($P18=1,
         $S18/12,
         IF(CH$4=1,
            $T18/12,
            IF(CH$4=$P18,
               $U18/12,
               1
      ))),0),
    ROUND(
      CH18*IF(CH18*$I18&lt;=$L18,$J18,$I18)*
      IF($P18=1,
         $S18/12,
         IF(CH$4=1,
            $T18/12,
            IF(CH$4=$P18,
               $U18/12,
               1
      ))),0)
))))</f>
        <v>-</v>
      </c>
      <c r="CJ18" s="56" t="str">
        <f ca="1">IF($H18=リスト!$AA$4,"-",
   IF($C18="-","-",
     IF(CJ$4&gt;$P18,"-",
       IF(CJ$4=1,$E18,OFFSET(CJ18,0,-2)-OFFSET(CJ18,0,-1)
))))</f>
        <v>-</v>
      </c>
      <c r="CK18" s="57" t="str">
        <f>IF($H18=リスト!$AA$4,"-",
 IF($C18="-","-",
  IF(CJ$4&gt;$P18,"-",
   CHOOSE(MATCH($H$3,リスト!$AE$3:$AE$5,0),
    ROUNDUP(
      CJ18*IF(CJ18*$I18&lt;=$L18,$J18,$I18)*
      IF($P18=1,
         $S18/12,
         IF(CJ$4=1,
            $T18/12,
            IF(CJ$4=$P18,
               $U18/12,
               1
      ))),0),
    ROUNDDOWN(
      CJ18*IF(CJ18*$I18&lt;=$L18,$J18,$I18)*
      IF($P18=1,
         $S18/12,
         IF(CJ$4=1,
            $T18/12,
            IF(CJ$4=$P18,
               $U18/12,
               1
      ))),0),
    ROUND(
      CJ18*IF(CJ18*$I18&lt;=$L18,$J18,$I18)*
      IF($P18=1,
         $S18/12,
         IF(CJ$4=1,
            $T18/12,
            IF(CJ$4=$P18,
               $U18/12,
               1
      ))),0)
))))</f>
        <v>-</v>
      </c>
      <c r="CL18" s="56" t="str">
        <f ca="1">IF($H18=リスト!$AA$4,"-",
   IF($C18="-","-",
     IF(CL$4&gt;$P18,"-",
       IF(CL$4=1,$E18,OFFSET(CL18,0,-2)-OFFSET(CL18,0,-1)
))))</f>
        <v>-</v>
      </c>
      <c r="CM18" s="57" t="str">
        <f>IF($H18=リスト!$AA$4,"-",
 IF($C18="-","-",
  IF(CL$4&gt;$P18,"-",
   CHOOSE(MATCH($H$3,リスト!$AE$3:$AE$5,0),
    ROUNDUP(
      CL18*IF(CL18*$I18&lt;=$L18,$J18,$I18)*
      IF($P18=1,
         $S18/12,
         IF(CL$4=1,
            $T18/12,
            IF(CL$4=$P18,
               $U18/12,
               1
      ))),0),
    ROUNDDOWN(
      CL18*IF(CL18*$I18&lt;=$L18,$J18,$I18)*
      IF($P18=1,
         $S18/12,
         IF(CL$4=1,
            $T18/12,
            IF(CL$4=$P18,
               $U18/12,
               1
      ))),0),
    ROUND(
      CL18*IF(CL18*$I18&lt;=$L18,$J18,$I18)*
      IF($P18=1,
         $S18/12,
         IF(CL$4=1,
            $T18/12,
            IF(CL$4=$P18,
               $U18/12,
               1
      ))),0)
))))</f>
        <v>-</v>
      </c>
      <c r="CN18" s="56" t="str">
        <f ca="1">IF($H18=リスト!$AA$4,"-",
   IF($C18="-","-",
     IF(CN$4&gt;$P18,"-",
       IF(CN$4=1,$E18,OFFSET(CN18,0,-2)-OFFSET(CN18,0,-1)
))))</f>
        <v>-</v>
      </c>
      <c r="CO18" s="57" t="str">
        <f>IF($H18=リスト!$AA$4,"-",
 IF($C18="-","-",
  IF(CN$4&gt;$P18,"-",
   CHOOSE(MATCH($H$3,リスト!$AE$3:$AE$5,0),
    ROUNDUP(
      CN18*IF(CN18*$I18&lt;=$L18,$J18,$I18)*
      IF($P18=1,
         $S18/12,
         IF(CN$4=1,
            $T18/12,
            IF(CN$4=$P18,
               $U18/12,
               1
      ))),0),
    ROUNDDOWN(
      CN18*IF(CN18*$I18&lt;=$L18,$J18,$I18)*
      IF($P18=1,
         $S18/12,
         IF(CN$4=1,
            $T18/12,
            IF(CN$4=$P18,
               $U18/12,
               1
      ))),0),
    ROUND(
      CN18*IF(CN18*$I18&lt;=$L18,$J18,$I18)*
      IF($P18=1,
         $S18/12,
         IF(CN$4=1,
            $T18/12,
            IF(CN$4=$P18,
               $U18/12,
               1
      ))),0)
))))</f>
        <v>-</v>
      </c>
      <c r="CP18" s="56" t="str">
        <f ca="1">IF($H18=リスト!$AA$4,"-",
   IF($C18="-","-",
     IF(CP$4&gt;$P18,"-",
       IF(CP$4=1,$E18,OFFSET(CP18,0,-2)-OFFSET(CP18,0,-1)
))))</f>
        <v>-</v>
      </c>
      <c r="CQ18" s="57" t="str">
        <f>IF($H18=リスト!$AA$4,"-",
 IF($C18="-","-",
  IF(CP$4&gt;$P18,"-",
   CHOOSE(MATCH($H$3,リスト!$AE$3:$AE$5,0),
    ROUNDUP(
      CP18*IF(CP18*$I18&lt;=$L18,$J18,$I18)*
      IF($P18=1,
         $S18/12,
         IF(CP$4=1,
            $T18/12,
            IF(CP$4=$P18,
               $U18/12,
               1
      ))),0),
    ROUNDDOWN(
      CP18*IF(CP18*$I18&lt;=$L18,$J18,$I18)*
      IF($P18=1,
         $S18/12,
         IF(CP$4=1,
            $T18/12,
            IF(CP$4=$P18,
               $U18/12,
               1
      ))),0),
    ROUND(
      CP18*IF(CP18*$I18&lt;=$L18,$J18,$I18)*
      IF($P18=1,
         $S18/12,
         IF(CP$4=1,
            $T18/12,
            IF(CP$4=$P18,
               $U18/12,
               1
      ))),0)
))))</f>
        <v>-</v>
      </c>
      <c r="CR18" s="56" t="str">
        <f ca="1">IF($H18=リスト!$AA$4,"-",
   IF($C18="-","-",
     IF(CR$4&gt;$P18,"-",
       IF(CR$4=1,$E18,OFFSET(CR18,0,-2)-OFFSET(CR18,0,-1)
))))</f>
        <v>-</v>
      </c>
      <c r="CS18" s="57" t="str">
        <f>IF($H18=リスト!$AA$4,"-",
 IF($C18="-","-",
  IF(CR$4&gt;$P18,"-",
   CHOOSE(MATCH($H$3,リスト!$AE$3:$AE$5,0),
    ROUNDUP(
      CR18*IF(CR18*$I18&lt;=$L18,$J18,$I18)*
      IF($P18=1,
         $S18/12,
         IF(CR$4=1,
            $T18/12,
            IF(CR$4=$P18,
               $U18/12,
               1
      ))),0),
    ROUNDDOWN(
      CR18*IF(CR18*$I18&lt;=$L18,$J18,$I18)*
      IF($P18=1,
         $S18/12,
         IF(CR$4=1,
            $T18/12,
            IF(CR$4=$P18,
               $U18/12,
               1
      ))),0),
    ROUND(
      CR18*IF(CR18*$I18&lt;=$L18,$J18,$I18)*
      IF($P18=1,
         $S18/12,
         IF(CR$4=1,
            $T18/12,
            IF(CR$4=$P18,
               $U18/12,
               1
      ))),0)
))))</f>
        <v>-</v>
      </c>
      <c r="CT18" s="56" t="str">
        <f ca="1">IF($H18=リスト!$AA$4,"-",
   IF($C18="-","-",
     IF(CT$4&gt;$P18,"-",
       IF(CT$4=1,$E18,OFFSET(CT18,0,-2)-OFFSET(CT18,0,-1)
))))</f>
        <v>-</v>
      </c>
      <c r="CU18" s="57" t="str">
        <f>IF($H18=リスト!$AA$4,"-",
 IF($C18="-","-",
  IF(CT$4&gt;$P18,"-",
   CHOOSE(MATCH($H$3,リスト!$AE$3:$AE$5,0),
    ROUNDUP(
      CT18*IF(CT18*$I18&lt;=$L18,$J18,$I18)*
      IF($P18=1,
         $S18/12,
         IF(CT$4=1,
            $T18/12,
            IF(CT$4=$P18,
               $U18/12,
               1
      ))),0),
    ROUNDDOWN(
      CT18*IF(CT18*$I18&lt;=$L18,$J18,$I18)*
      IF($P18=1,
         $S18/12,
         IF(CT$4=1,
            $T18/12,
            IF(CT$4=$P18,
               $U18/12,
               1
      ))),0),
    ROUND(
      CT18*IF(CT18*$I18&lt;=$L18,$J18,$I18)*
      IF($P18=1,
         $S18/12,
         IF(CT$4=1,
            $T18/12,
            IF(CT$4=$P18,
               $U18/12,
               1
      ))),0)
))))</f>
        <v>-</v>
      </c>
      <c r="CV18" s="56" t="str">
        <f ca="1">IF($H18=リスト!$AA$4,"-",
   IF($C18="-","-",
     IF(CV$4&gt;$P18,"-",
       IF(CV$4=1,$E18,OFFSET(CV18,0,-2)-OFFSET(CV18,0,-1)
))))</f>
        <v>-</v>
      </c>
      <c r="CW18" s="57" t="str">
        <f>IF($H18=リスト!$AA$4,"-",
 IF($C18="-","-",
  IF(CV$4&gt;$P18,"-",
   CHOOSE(MATCH($H$3,リスト!$AE$3:$AE$5,0),
    ROUNDUP(
      CV18*IF(CV18*$I18&lt;=$L18,$J18,$I18)*
      IF($P18=1,
         $S18/12,
         IF(CV$4=1,
            $T18/12,
            IF(CV$4=$P18,
               $U18/12,
               1
      ))),0),
    ROUNDDOWN(
      CV18*IF(CV18*$I18&lt;=$L18,$J18,$I18)*
      IF($P18=1,
         $S18/12,
         IF(CV$4=1,
            $T18/12,
            IF(CV$4=$P18,
               $U18/12,
               1
      ))),0),
    ROUND(
      CV18*IF(CV18*$I18&lt;=$L18,$J18,$I18)*
      IF($P18=1,
         $S18/12,
         IF(CV$4=1,
            $T18/12,
            IF(CV$4=$P18,
               $U18/12,
               1
      ))),0)
))))</f>
        <v>-</v>
      </c>
      <c r="CX18" s="56" t="str">
        <f ca="1">IF($H18=リスト!$AA$4,"-",
   IF($C18="-","-",
     IF(CX$4&gt;$P18,"-",
       IF(CX$4=1,$E18,OFFSET(CX18,0,-2)-OFFSET(CX18,0,-1)
))))</f>
        <v>-</v>
      </c>
      <c r="CY18" s="57" t="str">
        <f>IF($H18=リスト!$AA$4,"-",
 IF($C18="-","-",
  IF(CX$4&gt;$P18,"-",
   CHOOSE(MATCH($H$3,リスト!$AE$3:$AE$5,0),
    ROUNDUP(
      CX18*IF(CX18*$I18&lt;=$L18,$J18,$I18)*
      IF($P18=1,
         $S18/12,
         IF(CX$4=1,
            $T18/12,
            IF(CX$4=$P18,
               $U18/12,
               1
      ))),0),
    ROUNDDOWN(
      CX18*IF(CX18*$I18&lt;=$L18,$J18,$I18)*
      IF($P18=1,
         $S18/12,
         IF(CX$4=1,
            $T18/12,
            IF(CX$4=$P18,
               $U18/12,
               1
      ))),0),
    ROUND(
      CX18*IF(CX18*$I18&lt;=$L18,$J18,$I18)*
      IF($P18=1,
         $S18/12,
         IF(CX$4=1,
            $T18/12,
            IF(CX$4=$P18,
               $U18/12,
               1
      ))),0)
))))</f>
        <v>-</v>
      </c>
      <c r="CZ18" s="56" t="str">
        <f ca="1">IF($H18=リスト!$AA$4,"-",
   IF($C18="-","-",
     IF(CZ$4&gt;$P18,"-",
       IF(CZ$4=1,$E18,OFFSET(CZ18,0,-2)-OFFSET(CZ18,0,-1)
))))</f>
        <v>-</v>
      </c>
      <c r="DA18" s="57" t="str">
        <f>IF($H18=リスト!$AA$4,"-",
 IF($C18="-","-",
  IF(CZ$4&gt;$P18,"-",
   CHOOSE(MATCH($H$3,リスト!$AE$3:$AE$5,0),
    ROUNDUP(
      CZ18*IF(CZ18*$I18&lt;=$L18,$J18,$I18)*
      IF($P18=1,
         $S18/12,
         IF(CZ$4=1,
            $T18/12,
            IF(CZ$4=$P18,
               $U18/12,
               1
      ))),0),
    ROUNDDOWN(
      CZ18*IF(CZ18*$I18&lt;=$L18,$J18,$I18)*
      IF($P18=1,
         $S18/12,
         IF(CZ$4=1,
            $T18/12,
            IF(CZ$4=$P18,
               $U18/12,
               1
      ))),0),
    ROUND(
      CZ18*IF(CZ18*$I18&lt;=$L18,$J18,$I18)*
      IF($P18=1,
         $S18/12,
         IF(CZ$4=1,
            $T18/12,
            IF(CZ$4=$P18,
               $U18/12,
               1
      ))),0)
))))</f>
        <v>-</v>
      </c>
      <c r="DB18" s="56" t="str">
        <f ca="1">IF($H18=リスト!$AA$4,"-",
   IF($C18="-","-",
     IF(DB$4&gt;$P18,"-",
       IF(DB$4=1,$E18,OFFSET(DB18,0,-2)-OFFSET(DB18,0,-1)
))))</f>
        <v>-</v>
      </c>
      <c r="DC18" s="57" t="str">
        <f>IF($H18=リスト!$AA$4,"-",
 IF($C18="-","-",
  IF(DB$4&gt;$P18,"-",
   CHOOSE(MATCH($H$3,リスト!$AE$3:$AE$5,0),
    ROUNDUP(
      DB18*IF(DB18*$I18&lt;=$L18,$J18,$I18)*
      IF($P18=1,
         $S18/12,
         IF(DB$4=1,
            $T18/12,
            IF(DB$4=$P18,
               $U18/12,
               1
      ))),0),
    ROUNDDOWN(
      DB18*IF(DB18*$I18&lt;=$L18,$J18,$I18)*
      IF($P18=1,
         $S18/12,
         IF(DB$4=1,
            $T18/12,
            IF(DB$4=$P18,
               $U18/12,
               1
      ))),0),
    ROUND(
      DB18*IF(DB18*$I18&lt;=$L18,$J18,$I18)*
      IF($P18=1,
         $S18/12,
         IF(DB$4=1,
            $T18/12,
            IF(DB$4=$P18,
               $U18/12,
               1
      ))),0)
))))</f>
        <v>-</v>
      </c>
      <c r="DD18" s="56" t="str">
        <f ca="1">IF($H18=リスト!$AA$4,"-",
   IF($C18="-","-",
     IF(DD$4&gt;$P18,"-",
       IF(DD$4=1,$E18,OFFSET(DD18,0,-2)-OFFSET(DD18,0,-1)
))))</f>
        <v>-</v>
      </c>
      <c r="DE18" s="57" t="str">
        <f>IF($H18=リスト!$AA$4,"-",
 IF($C18="-","-",
  IF(DD$4&gt;$P18,"-",
   CHOOSE(MATCH($H$3,リスト!$AE$3:$AE$5,0),
    ROUNDUP(
      DD18*IF(DD18*$I18&lt;=$L18,$J18,$I18)*
      IF($P18=1,
         $S18/12,
         IF(DD$4=1,
            $T18/12,
            IF(DD$4=$P18,
               $U18/12,
               1
      ))),0),
    ROUNDDOWN(
      DD18*IF(DD18*$I18&lt;=$L18,$J18,$I18)*
      IF($P18=1,
         $S18/12,
         IF(DD$4=1,
            $T18/12,
            IF(DD$4=$P18,
               $U18/12,
               1
      ))),0),
    ROUND(
      DD18*IF(DD18*$I18&lt;=$L18,$J18,$I18)*
      IF($P18=1,
         $S18/12,
         IF(DD$4=1,
            $T18/12,
            IF(DD$4=$P18,
               $U18/12,
               1
      ))),0)
))))</f>
        <v>-</v>
      </c>
      <c r="DF18" s="56" t="str">
        <f ca="1">IF($H18=リスト!$AA$4,"-",
   IF($C18="-","-",
     IF(DF$4&gt;$P18,"-",
       IF(DF$4=1,$E18,OFFSET(DF18,0,-2)-OFFSET(DF18,0,-1)
))))</f>
        <v>-</v>
      </c>
      <c r="DG18" s="57" t="str">
        <f>IF($H18=リスト!$AA$4,"-",
 IF($C18="-","-",
  IF(DF$4&gt;$P18,"-",
   CHOOSE(MATCH($H$3,リスト!$AE$3:$AE$5,0),
    ROUNDUP(
      DF18*IF(DF18*$I18&lt;=$L18,$J18,$I18)*
      IF($P18=1,
         $S18/12,
         IF(DF$4=1,
            $T18/12,
            IF(DF$4=$P18,
               $U18/12,
               1
      ))),0),
    ROUNDDOWN(
      DF18*IF(DF18*$I18&lt;=$L18,$J18,$I18)*
      IF($P18=1,
         $S18/12,
         IF(DF$4=1,
            $T18/12,
            IF(DF$4=$P18,
               $U18/12,
               1
      ))),0),
    ROUND(
      DF18*IF(DF18*$I18&lt;=$L18,$J18,$I18)*
      IF($P18=1,
         $S18/12,
         IF(DF$4=1,
            $T18/12,
            IF(DF$4=$P18,
               $U18/12,
               1
      ))),0)
))))</f>
        <v>-</v>
      </c>
      <c r="DH18" s="56" t="str">
        <f ca="1">IF($H18=リスト!$AA$4,"-",
   IF($C18="-","-",
     IF(DH$4&gt;$P18,"-",
       IF(DH$4=1,$E18,OFFSET(DH18,0,-2)-OFFSET(DH18,0,-1)
))))</f>
        <v>-</v>
      </c>
      <c r="DI18" s="57" t="str">
        <f>IF($H18=リスト!$AA$4,"-",
 IF($C18="-","-",
  IF(DH$4&gt;$P18,"-",
   CHOOSE(MATCH($H$3,リスト!$AE$3:$AE$5,0),
    ROUNDUP(
      DH18*IF(DH18*$I18&lt;=$L18,$J18,$I18)*
      IF($P18=1,
         $S18/12,
         IF(DH$4=1,
            $T18/12,
            IF(DH$4=$P18,
               $U18/12,
               1
      ))),0),
    ROUNDDOWN(
      DH18*IF(DH18*$I18&lt;=$L18,$J18,$I18)*
      IF($P18=1,
         $S18/12,
         IF(DH$4=1,
            $T18/12,
            IF(DH$4=$P18,
               $U18/12,
               1
      ))),0),
    ROUND(
      DH18*IF(DH18*$I18&lt;=$L18,$J18,$I18)*
      IF($P18=1,
         $S18/12,
         IF(DH$4=1,
            $T18/12,
            IF(DH$4=$P18,
               $U18/12,
               1
      ))),0)
))))</f>
        <v>-</v>
      </c>
      <c r="DJ18" s="56" t="str">
        <f ca="1">IF($H18=リスト!$AA$4,"-",
   IF($C18="-","-",
     IF(DJ$4&gt;$P18,"-",
       IF(DJ$4=1,$E18,OFFSET(DJ18,0,-2)-OFFSET(DJ18,0,-1)
))))</f>
        <v>-</v>
      </c>
      <c r="DK18" s="57" t="str">
        <f>IF($H18=リスト!$AA$4,"-",
 IF($C18="-","-",
  IF(DJ$4&gt;$P18,"-",
   CHOOSE(MATCH($H$3,リスト!$AE$3:$AE$5,0),
    ROUNDUP(
      DJ18*IF(DJ18*$I18&lt;=$L18,$J18,$I18)*
      IF($P18=1,
         $S18/12,
         IF(DJ$4=1,
            $T18/12,
            IF(DJ$4=$P18,
               $U18/12,
               1
      ))),0),
    ROUNDDOWN(
      DJ18*IF(DJ18*$I18&lt;=$L18,$J18,$I18)*
      IF($P18=1,
         $S18/12,
         IF(DJ$4=1,
            $T18/12,
            IF(DJ$4=$P18,
               $U18/12,
               1
      ))),0),
    ROUND(
      DJ18*IF(DJ18*$I18&lt;=$L18,$J18,$I18)*
      IF($P18=1,
         $S18/12,
         IF(DJ$4=1,
            $T18/12,
            IF(DJ$4=$P18,
               $U18/12,
               1
      ))),0)
))))</f>
        <v>-</v>
      </c>
      <c r="DL18" s="56" t="str">
        <f ca="1">IF($H18=リスト!$AA$4,"-",
   IF($C18="-","-",
     IF(DL$4&gt;$P18,"-",
       IF(DL$4=1,$E18,OFFSET(DL18,0,-2)-OFFSET(DL18,0,-1)
))))</f>
        <v>-</v>
      </c>
      <c r="DM18" s="57" t="str">
        <f>IF($H18=リスト!$AA$4,"-",
 IF($C18="-","-",
  IF(DL$4&gt;$P18,"-",
   CHOOSE(MATCH($H$3,リスト!$AE$3:$AE$5,0),
    ROUNDUP(
      DL18*IF(DL18*$I18&lt;=$L18,$J18,$I18)*
      IF($P18=1,
         $S18/12,
         IF(DL$4=1,
            $T18/12,
            IF(DL$4=$P18,
               $U18/12,
               1
      ))),0),
    ROUNDDOWN(
      DL18*IF(DL18*$I18&lt;=$L18,$J18,$I18)*
      IF($P18=1,
         $S18/12,
         IF(DL$4=1,
            $T18/12,
            IF(DL$4=$P18,
               $U18/12,
               1
      ))),0),
    ROUND(
      DL18*IF(DL18*$I18&lt;=$L18,$J18,$I18)*
      IF($P18=1,
         $S18/12,
         IF(DL$4=1,
            $T18/12,
            IF(DL$4=$P18,
               $U18/12,
               1
      ))),0)
))))</f>
        <v>-</v>
      </c>
      <c r="DN18" s="56" t="str">
        <f ca="1">IF($H18=リスト!$AA$4,"-",
   IF($C18="-","-",
     IF(DN$4&gt;$P18,"-",
       IF(DN$4=1,$E18,OFFSET(DN18,0,-2)-OFFSET(DN18,0,-1)
))))</f>
        <v>-</v>
      </c>
      <c r="DO18" s="57" t="str">
        <f>IF($H18=リスト!$AA$4,"-",
 IF($C18="-","-",
  IF(DN$4&gt;$P18,"-",
   CHOOSE(MATCH($H$3,リスト!$AE$3:$AE$5,0),
    ROUNDUP(
      DN18*IF(DN18*$I18&lt;=$L18,$J18,$I18)*
      IF($P18=1,
         $S18/12,
         IF(DN$4=1,
            $T18/12,
            IF(DN$4=$P18,
               $U18/12,
               1
      ))),0),
    ROUNDDOWN(
      DN18*IF(DN18*$I18&lt;=$L18,$J18,$I18)*
      IF($P18=1,
         $S18/12,
         IF(DN$4=1,
            $T18/12,
            IF(DN$4=$P18,
               $U18/12,
               1
      ))),0),
    ROUND(
      DN18*IF(DN18*$I18&lt;=$L18,$J18,$I18)*
      IF($P18=1,
         $S18/12,
         IF(DN$4=1,
            $T18/12,
            IF(DN$4=$P18,
               $U18/12,
               1
      ))),0)
))))</f>
        <v>-</v>
      </c>
      <c r="DP18" s="56" t="str">
        <f ca="1">IF($H18=リスト!$AA$4,"-",
   IF($C18="-","-",
     IF(DP$4&gt;$P18,"-",
       IF(DP$4=1,$E18,OFFSET(DP18,0,-2)-OFFSET(DP18,0,-1)
))))</f>
        <v>-</v>
      </c>
      <c r="DQ18" s="57" t="str">
        <f>IF($H18=リスト!$AA$4,"-",
 IF($C18="-","-",
  IF(DP$4&gt;$P18,"-",
   CHOOSE(MATCH($H$3,リスト!$AE$3:$AE$5,0),
    ROUNDUP(
      DP18*IF(DP18*$I18&lt;=$L18,$J18,$I18)*
      IF($P18=1,
         $S18/12,
         IF(DP$4=1,
            $T18/12,
            IF(DP$4=$P18,
               $U18/12,
               1
      ))),0),
    ROUNDDOWN(
      DP18*IF(DP18*$I18&lt;=$L18,$J18,$I18)*
      IF($P18=1,
         $S18/12,
         IF(DP$4=1,
            $T18/12,
            IF(DP$4=$P18,
               $U18/12,
               1
      ))),0),
    ROUND(
      DP18*IF(DP18*$I18&lt;=$L18,$J18,$I18)*
      IF($P18=1,
         $S18/12,
         IF(DP$4=1,
            $T18/12,
            IF(DP$4=$P18,
               $U18/12,
               1
      ))),0)
))))</f>
        <v>-</v>
      </c>
      <c r="DR18" s="56" t="str">
        <f ca="1">IF($H18=リスト!$AA$4,"-",
   IF($C18="-","-",
     IF(DR$4&gt;$P18,"-",
       IF(DR$4=1,$E18,OFFSET(DR18,0,-2)-OFFSET(DR18,0,-1)
))))</f>
        <v>-</v>
      </c>
      <c r="DS18" s="57" t="str">
        <f>IF($H18=リスト!$AA$4,"-",
 IF($C18="-","-",
  IF(DR$4&gt;$P18,"-",
   CHOOSE(MATCH($H$3,リスト!$AE$3:$AE$5,0),
    ROUNDUP(
      DR18*IF(DR18*$I18&lt;=$L18,$J18,$I18)*
      IF($P18=1,
         ($G18-$F18+1)/$Q18,
         IF(DR$4=1,
            ($M18-$F18+1)/$Q18,
            IF(DR$4=$P18,
               ($G18-$O18+1)/$R18,
               1
      ))),0),
    ROUNDDOWN(
      DR18*IF(DR18*$I18&lt;=$L18,$J18,$I18)*
      IF($P18=1,
         ($G18-$F18+1)/$Q18,
         IF(DR$4=1,
            ($M18-$F18+1)/$Q18,
            IF(DR$4=$P18,
               ($G18-$O18+1)/$R18,
               1
      ))),0),
    ROUND(
      DR18*IF(DR18*$I18&lt;=$L18,$J18,$I18)*
      IF($P18=1,
         ($G18-$F18+1)/$Q18,
         IF(DR$4=1,
            ($M18-$F18+1)/$Q18,
            IF(DR$4=$P18,
               ($G18-$O18+1)/$R18,
               1
      ))),0)
))))</f>
        <v>-</v>
      </c>
      <c r="DT18" s="56" t="str" cm="1">
        <f t="array" ref="DT18">IF($H18&lt;&gt;リスト!$AA$3,"-",$E18-SUMPRODUCT(IFERROR($Y18:$DS18*1,0), --(MOD(COLUMN($Y18:$DS18)-COLUMN($Y18),2)=0)))</f>
        <v>-</v>
      </c>
      <c r="DU18" s="56" t="str">
        <f>IF($H18&lt;&gt;リスト!$AA$4,"-",
    IF($H$3=リスト!$AE$3,$E18-ROUNDUP($E18*I18*$W18/12,0),
    IF($H$3=リスト!$AE$4,$E18-ROUNDDOWN($E18*I18*$W18/12,0),
    IF($H$3=リスト!$AE$5,$E18-ROUND($E18*I18*$W18/12,0),
    "-"))))</f>
        <v>-</v>
      </c>
    </row>
    <row r="19" spans="2:125">
      <c r="B19" s="54">
        <v>14</v>
      </c>
      <c r="C19" s="55" t="str">
        <f>IF('財産処分報告(災害)用'!$C19="","-",'財産処分報告(災害)用'!$C19)</f>
        <v>-</v>
      </c>
      <c r="D19" s="55" t="str">
        <f>'財産処分報告(災害)用'!$E19</f>
        <v>-</v>
      </c>
      <c r="E19" s="56" t="str">
        <f>IF('財産処分報告(災害)用'!$J19="","-",'財産処分報告(災害)用'!$J19)</f>
        <v>-</v>
      </c>
      <c r="F19" s="101" t="str">
        <f>IF('財産処分報告(災害)用'!$K19="","-",'財産処分報告(災害)用'!$K19)</f>
        <v>-</v>
      </c>
      <c r="G19" s="101" t="str">
        <f>IF('財産処分報告(災害)用'!$L19="","-",'財産処分報告(災害)用'!$L19)</f>
        <v>-</v>
      </c>
      <c r="H19" s="55" t="str">
        <f>IF('財産処分報告(災害)用'!$M19="","-",'財産処分報告(災害)用'!$M19)</f>
        <v>-</v>
      </c>
      <c r="I19" s="55" t="str">
        <f>IF(OR($D19="-",$H19="-"),"-",INDEX(リスト!$AG$2:$AI$101,MATCH($D19,リスト!$AG$2:$AG$101,0),MATCH($H19,リスト!$AG$2:$AI$2,0)))</f>
        <v>-</v>
      </c>
      <c r="J19" s="55" t="str">
        <f>IF(OR($D19="-",$H19="-"),"-",IF($H19=リスト!$AA$4,"-",INDEX(リスト!$AG$2:$AK$101,MATCH($D19,リスト!$AG$2:$AG$101,0),4)))</f>
        <v>-</v>
      </c>
      <c r="K19" s="55" t="str">
        <f>IF(OR($D19="-",$H19="-"),"-",IF($H19=リスト!$AA$4,"-",INDEX(リスト!$AG$2:$AK$101,MATCH($D19,リスト!$AG$2:$AG$101,0),5)))</f>
        <v>-</v>
      </c>
      <c r="L19" s="55" t="str">
        <f t="shared" si="0"/>
        <v>-</v>
      </c>
      <c r="M19" s="101" t="str">
        <f t="shared" si="1"/>
        <v>-</v>
      </c>
      <c r="N19" s="101" t="str">
        <f t="shared" si="2"/>
        <v>-</v>
      </c>
      <c r="O19" s="101" t="str">
        <f t="shared" si="3"/>
        <v>-</v>
      </c>
      <c r="P19" s="102" t="str">
        <f t="shared" si="4"/>
        <v>-</v>
      </c>
      <c r="Q19" s="115" t="str">
        <f t="shared" si="5"/>
        <v>-</v>
      </c>
      <c r="R19" s="116" t="str">
        <f t="shared" si="6"/>
        <v>-</v>
      </c>
      <c r="S19" s="102" t="str">
        <f t="shared" si="7"/>
        <v>-</v>
      </c>
      <c r="T19" s="102" t="str">
        <f t="shared" si="8"/>
        <v>-</v>
      </c>
      <c r="U19" s="102" t="str">
        <f t="shared" si="9"/>
        <v>-</v>
      </c>
      <c r="V19" s="102" t="str">
        <f t="shared" si="10"/>
        <v>-</v>
      </c>
      <c r="W19" s="55" t="str">
        <f t="shared" si="11"/>
        <v>-</v>
      </c>
      <c r="X19" s="56" t="str">
        <f ca="1">IF($H19=リスト!$AA$4,"-",
   IF($C19="-","-",
     IF(X$4&gt;$P19,"-",
       IF(X$4=1,$E19,OFFSET(X19,0,-2)-OFFSET(X19,0,-1)
))))</f>
        <v>-</v>
      </c>
      <c r="Y19" s="57" t="str">
        <f>IF($H19=リスト!$AA$4,"-",
 IF($C19="-","-",
  IF(X$4&gt;$P19,"-",
   CHOOSE(MATCH($H$3,リスト!$AE$3:$AE$5,0),
    ROUNDUP(
      X19*IF(X19*$I19&lt;=$L19,$J19,$I19)*
      IF($P19=1,
         $S19/12,
         IF(X$4=1,
            $T19/12,
            IF(X$4=$P19,
               $U19/12,
               1
      ))),0),
    ROUNDDOWN(
      X19*IF(X19*$I19&lt;=$L19,$J19,$I19)*
      IF($P19=1,
         $S19/12,
         IF(X$4=1,
            $T19/12,
            IF(X$4=$P19,
               $U19/12,
               1
      ))),0),
    ROUND(
      X19*IF(X19*$I19&lt;=$L19,$J19,$I19)*
      IF($P19=1,
         $S19/12,
         IF(X$4=1,
            $T19/12,
            IF(X$4=$P19,
               $U19/12,
               1
      ))),0)
))))</f>
        <v>-</v>
      </c>
      <c r="Z19" s="56" t="str">
        <f ca="1">IF($H19=リスト!$AA$4,"-",
   IF($C19="-","-",
     IF(Z$4&gt;$P19,"-",
       IF(Z$4=1,$E19,OFFSET(Z19,0,-2)-OFFSET(Z19,0,-1)
))))</f>
        <v>-</v>
      </c>
      <c r="AA19" s="57" t="str">
        <f>IF($H19=リスト!$AA$4,"-",
 IF($C19="-","-",
  IF(Z$4&gt;$P19,"-",
   CHOOSE(MATCH($H$3,リスト!$AE$3:$AE$5,0),
    ROUNDUP(
      Z19*IF(Z19*$I19&lt;=$L19,$J19,$I19)*
      IF($P19=1,
         $S19/12,
         IF(Z$4=1,
            $T19/12,
            IF(Z$4=$P19,
               $U19/12,
               1
      ))),0),
    ROUNDDOWN(
      Z19*IF(Z19*$I19&lt;=$L19,$J19,$I19)*
      IF($P19=1,
         $S19/12,
         IF(Z$4=1,
            $T19/12,
            IF(Z$4=$P19,
               $U19/12,
               1
      ))),0),
    ROUND(
      Z19*IF(Z19*$I19&lt;=$L19,$J19,$I19)*
      IF($P19=1,
         $S19/12,
         IF(Z$4=1,
            $T19/12,
            IF(Z$4=$P19,
               $U19/12,
               1
      ))),0)
))))</f>
        <v>-</v>
      </c>
      <c r="AB19" s="56" t="str">
        <f ca="1">IF($H19=リスト!$AA$4,"-",
   IF($C19="-","-",
     IF(AB$4&gt;$P19,"-",
       IF(AB$4=1,$E19,OFFSET(AB19,0,-2)-OFFSET(AB19,0,-1)
))))</f>
        <v>-</v>
      </c>
      <c r="AC19" s="57" t="str">
        <f>IF($H19=リスト!$AA$4,"-",
 IF($C19="-","-",
  IF(AB$4&gt;$P19,"-",
   CHOOSE(MATCH($H$3,リスト!$AE$3:$AE$5,0),
    ROUNDUP(
      AB19*IF(AB19*$I19&lt;=$L19,$J19,$I19)*
      IF($P19=1,
         $S19/12,
         IF(AB$4=1,
            $T19/12,
            IF(AB$4=$P19,
               $U19/12,
               1
      ))),0),
    ROUNDDOWN(
      AB19*IF(AB19*$I19&lt;=$L19,$J19,$I19)*
      IF($P19=1,
         $S19/12,
         IF(AB$4=1,
            $T19/12,
            IF(AB$4=$P19,
               $U19/12,
               1
      ))),0),
    ROUND(
      AB19*IF(AB19*$I19&lt;=$L19,$J19,$I19)*
      IF($P19=1,
         $S19/12,
         IF(AB$4=1,
            $T19/12,
            IF(AB$4=$P19,
               $U19/12,
               1
      ))),0)
))))</f>
        <v>-</v>
      </c>
      <c r="AD19" s="56" t="str">
        <f ca="1">IF($H19=リスト!$AA$4,"-",
   IF($C19="-","-",
     IF(AD$4&gt;$P19,"-",
       IF(AD$4=1,$E19,OFFSET(AD19,0,-2)-OFFSET(AD19,0,-1)
))))</f>
        <v>-</v>
      </c>
      <c r="AE19" s="57" t="str">
        <f>IF($H19=リスト!$AA$4,"-",
 IF($C19="-","-",
  IF(AD$4&gt;$P19,"-",
   CHOOSE(MATCH($H$3,リスト!$AE$3:$AE$5,0),
    ROUNDUP(
      AD19*IF(AD19*$I19&lt;=$L19,$J19,$I19)*
      IF($P19=1,
         $S19/12,
         IF(AD$4=1,
            $T19/12,
            IF(AD$4=$P19,
               $U19/12,
               1
      ))),0),
    ROUNDDOWN(
      AD19*IF(AD19*$I19&lt;=$L19,$J19,$I19)*
      IF($P19=1,
         $S19/12,
         IF(AD$4=1,
            $T19/12,
            IF(AD$4=$P19,
               $U19/12,
               1
      ))),0),
    ROUND(
      AD19*IF(AD19*$I19&lt;=$L19,$J19,$I19)*
      IF($P19=1,
         $S19/12,
         IF(AD$4=1,
            $T19/12,
            IF(AD$4=$P19,
               $U19/12,
               1
      ))),0)
))))</f>
        <v>-</v>
      </c>
      <c r="AF19" s="56" t="str">
        <f ca="1">IF($H19=リスト!$AA$4,"-",
   IF($C19="-","-",
     IF(AF$4&gt;$P19,"-",
       IF(AF$4=1,$E19,OFFSET(AF19,0,-2)-OFFSET(AF19,0,-1)
))))</f>
        <v>-</v>
      </c>
      <c r="AG19" s="57" t="str">
        <f>IF($H19=リスト!$AA$4,"-",
 IF($C19="-","-",
  IF(AF$4&gt;$P19,"-",
   CHOOSE(MATCH($H$3,リスト!$AE$3:$AE$5,0),
    ROUNDUP(
      AF19*IF(AF19*$I19&lt;=$L19,$J19,$I19)*
      IF($P19=1,
         $S19/12,
         IF(AF$4=1,
            $T19/12,
            IF(AF$4=$P19,
               $U19/12,
               1
      ))),0),
    ROUNDDOWN(
      AF19*IF(AF19*$I19&lt;=$L19,$J19,$I19)*
      IF($P19=1,
         $S19/12,
         IF(AF$4=1,
            $T19/12,
            IF(AF$4=$P19,
               $U19/12,
               1
      ))),0),
    ROUND(
      AF19*IF(AF19*$I19&lt;=$L19,$J19,$I19)*
      IF($P19=1,
         $S19/12,
         IF(AF$4=1,
            $T19/12,
            IF(AF$4=$P19,
               $U19/12,
               1
      ))),0)
))))</f>
        <v>-</v>
      </c>
      <c r="AH19" s="56" t="str">
        <f ca="1">IF($H19=リスト!$AA$4,"-",
   IF($C19="-","-",
     IF(AH$4&gt;$P19,"-",
       IF(AH$4=1,$E19,OFFSET(AH19,0,-2)-OFFSET(AH19,0,-1)
))))</f>
        <v>-</v>
      </c>
      <c r="AI19" s="57" t="str">
        <f>IF($H19=リスト!$AA$4,"-",
 IF($C19="-","-",
  IF(AH$4&gt;$P19,"-",
   CHOOSE(MATCH($H$3,リスト!$AE$3:$AE$5,0),
    ROUNDUP(
      AH19*IF(AH19*$I19&lt;=$L19,$J19,$I19)*
      IF($P19=1,
         $S19/12,
         IF(AH$4=1,
            $T19/12,
            IF(AH$4=$P19,
               $U19/12,
               1
      ))),0),
    ROUNDDOWN(
      AH19*IF(AH19*$I19&lt;=$L19,$J19,$I19)*
      IF($P19=1,
         $S19/12,
         IF(AH$4=1,
            $T19/12,
            IF(AH$4=$P19,
               $U19/12,
               1
      ))),0),
    ROUND(
      AH19*IF(AH19*$I19&lt;=$L19,$J19,$I19)*
      IF($P19=1,
         $S19/12,
         IF(AH$4=1,
            $T19/12,
            IF(AH$4=$P19,
               $U19/12,
               1
      ))),0)
))))</f>
        <v>-</v>
      </c>
      <c r="AJ19" s="56" t="str">
        <f ca="1">IF($H19=リスト!$AA$4,"-",
   IF($C19="-","-",
     IF(AJ$4&gt;$P19,"-",
       IF(AJ$4=1,$E19,OFFSET(AJ19,0,-2)-OFFSET(AJ19,0,-1)
))))</f>
        <v>-</v>
      </c>
      <c r="AK19" s="57" t="str">
        <f>IF($H19=リスト!$AA$4,"-",
 IF($C19="-","-",
  IF(AJ$4&gt;$P19,"-",
   CHOOSE(MATCH($H$3,リスト!$AE$3:$AE$5,0),
    ROUNDUP(
      AJ19*IF(AJ19*$I19&lt;=$L19,$J19,$I19)*
      IF($P19=1,
         $S19/12,
         IF(AJ$4=1,
            $T19/12,
            IF(AJ$4=$P19,
               $U19/12,
               1
      ))),0),
    ROUNDDOWN(
      AJ19*IF(AJ19*$I19&lt;=$L19,$J19,$I19)*
      IF($P19=1,
         $S19/12,
         IF(AJ$4=1,
            $T19/12,
            IF(AJ$4=$P19,
               $U19/12,
               1
      ))),0),
    ROUND(
      AJ19*IF(AJ19*$I19&lt;=$L19,$J19,$I19)*
      IF($P19=1,
         $S19/12,
         IF(AJ$4=1,
            $T19/12,
            IF(AJ$4=$P19,
               $U19/12,
               1
      ))),0)
))))</f>
        <v>-</v>
      </c>
      <c r="AL19" s="56" t="str">
        <f ca="1">IF($H19=リスト!$AA$4,"-",
   IF($C19="-","-",
     IF(AL$4&gt;$P19,"-",
       IF(AL$4=1,$E19,OFFSET(AL19,0,-2)-OFFSET(AL19,0,-1)
))))</f>
        <v>-</v>
      </c>
      <c r="AM19" s="57" t="str">
        <f>IF($H19=リスト!$AA$4,"-",
 IF($C19="-","-",
  IF(AL$4&gt;$P19,"-",
   CHOOSE(MATCH($H$3,リスト!$AE$3:$AE$5,0),
    ROUNDUP(
      AL19*IF(AL19*$I19&lt;=$L19,$J19,$I19)*
      IF($P19=1,
         $S19/12,
         IF(AL$4=1,
            $T19/12,
            IF(AL$4=$P19,
               $U19/12,
               1
      ))),0),
    ROUNDDOWN(
      AL19*IF(AL19*$I19&lt;=$L19,$J19,$I19)*
      IF($P19=1,
         $S19/12,
         IF(AL$4=1,
            $T19/12,
            IF(AL$4=$P19,
               $U19/12,
               1
      ))),0),
    ROUND(
      AL19*IF(AL19*$I19&lt;=$L19,$J19,$I19)*
      IF($P19=1,
         $S19/12,
         IF(AL$4=1,
            $T19/12,
            IF(AL$4=$P19,
               $U19/12,
               1
      ))),0)
))))</f>
        <v>-</v>
      </c>
      <c r="AN19" s="56" t="str">
        <f ca="1">IF($H19=リスト!$AA$4,"-",
   IF($C19="-","-",
     IF(AN$4&gt;$P19,"-",
       IF(AN$4=1,$E19,OFFSET(AN19,0,-2)-OFFSET(AN19,0,-1)
))))</f>
        <v>-</v>
      </c>
      <c r="AO19" s="57" t="str">
        <f>IF($H19=リスト!$AA$4,"-",
 IF($C19="-","-",
  IF(AN$4&gt;$P19,"-",
   CHOOSE(MATCH($H$3,リスト!$AE$3:$AE$5,0),
    ROUNDUP(
      AN19*IF(AN19*$I19&lt;=$L19,$J19,$I19)*
      IF($P19=1,
         $S19/12,
         IF(AN$4=1,
            $T19/12,
            IF(AN$4=$P19,
               $U19/12,
               1
      ))),0),
    ROUNDDOWN(
      AN19*IF(AN19*$I19&lt;=$L19,$J19,$I19)*
      IF($P19=1,
         $S19/12,
         IF(AN$4=1,
            $T19/12,
            IF(AN$4=$P19,
               $U19/12,
               1
      ))),0),
    ROUND(
      AN19*IF(AN19*$I19&lt;=$L19,$J19,$I19)*
      IF($P19=1,
         $S19/12,
         IF(AN$4=1,
            $T19/12,
            IF(AN$4=$P19,
               $U19/12,
               1
      ))),0)
))))</f>
        <v>-</v>
      </c>
      <c r="AP19" s="56" t="str">
        <f ca="1">IF($H19=リスト!$AA$4,"-",
   IF($C19="-","-",
     IF(AP$4&gt;$P19,"-",
       IF(AP$4=1,$E19,OFFSET(AP19,0,-2)-OFFSET(AP19,0,-1)
))))</f>
        <v>-</v>
      </c>
      <c r="AQ19" s="57" t="str">
        <f>IF($H19=リスト!$AA$4,"-",
 IF($C19="-","-",
  IF(AP$4&gt;$P19,"-",
   CHOOSE(MATCH($H$3,リスト!$AE$3:$AE$5,0),
    ROUNDUP(
      AP19*IF(AP19*$I19&lt;=$L19,$J19,$I19)*
      IF($P19=1,
         $S19/12,
         IF(AP$4=1,
            $T19/12,
            IF(AP$4=$P19,
               $U19/12,
               1
      ))),0),
    ROUNDDOWN(
      AP19*IF(AP19*$I19&lt;=$L19,$J19,$I19)*
      IF($P19=1,
         $S19/12,
         IF(AP$4=1,
            $T19/12,
            IF(AP$4=$P19,
               $U19/12,
               1
      ))),0),
    ROUND(
      AP19*IF(AP19*$I19&lt;=$L19,$J19,$I19)*
      IF($P19=1,
         $S19/12,
         IF(AP$4=1,
            $T19/12,
            IF(AP$4=$P19,
               $U19/12,
               1
      ))),0)
))))</f>
        <v>-</v>
      </c>
      <c r="AR19" s="56" t="str">
        <f ca="1">IF($H19=リスト!$AA$4,"-",
   IF($C19="-","-",
     IF(AR$4&gt;$P19,"-",
       IF(AR$4=1,$E19,OFFSET(AR19,0,-2)-OFFSET(AR19,0,-1)
))))</f>
        <v>-</v>
      </c>
      <c r="AS19" s="57" t="str">
        <f>IF($H19=リスト!$AA$4,"-",
 IF($C19="-","-",
  IF(AR$4&gt;$P19,"-",
   CHOOSE(MATCH($H$3,リスト!$AE$3:$AE$5,0),
    ROUNDUP(
      AR19*IF(AR19*$I19&lt;=$L19,$J19,$I19)*
      IF($P19=1,
         $S19/12,
         IF(AR$4=1,
            $T19/12,
            IF(AR$4=$P19,
               $U19/12,
               1
      ))),0),
    ROUNDDOWN(
      AR19*IF(AR19*$I19&lt;=$L19,$J19,$I19)*
      IF($P19=1,
         $S19/12,
         IF(AR$4=1,
            $T19/12,
            IF(AR$4=$P19,
               $U19/12,
               1
      ))),0),
    ROUND(
      AR19*IF(AR19*$I19&lt;=$L19,$J19,$I19)*
      IF($P19=1,
         $S19/12,
         IF(AR$4=1,
            $T19/12,
            IF(AR$4=$P19,
               $U19/12,
               1
      ))),0)
))))</f>
        <v>-</v>
      </c>
      <c r="AT19" s="56" t="str">
        <f ca="1">IF($H19=リスト!$AA$4,"-",
   IF($C19="-","-",
     IF(AT$4&gt;$P19,"-",
       IF(AT$4=1,$E19,OFFSET(AT19,0,-2)-OFFSET(AT19,0,-1)
))))</f>
        <v>-</v>
      </c>
      <c r="AU19" s="57" t="str">
        <f>IF($H19=リスト!$AA$4,"-",
 IF($C19="-","-",
  IF(AT$4&gt;$P19,"-",
   CHOOSE(MATCH($H$3,リスト!$AE$3:$AE$5,0),
    ROUNDUP(
      AT19*IF(AT19*$I19&lt;=$L19,$J19,$I19)*
      IF($P19=1,
         $S19/12,
         IF(AT$4=1,
            $T19/12,
            IF(AT$4=$P19,
               $U19/12,
               1
      ))),0),
    ROUNDDOWN(
      AT19*IF(AT19*$I19&lt;=$L19,$J19,$I19)*
      IF($P19=1,
         $S19/12,
         IF(AT$4=1,
            $T19/12,
            IF(AT$4=$P19,
               $U19/12,
               1
      ))),0),
    ROUND(
      AT19*IF(AT19*$I19&lt;=$L19,$J19,$I19)*
      IF($P19=1,
         $S19/12,
         IF(AT$4=1,
            $T19/12,
            IF(AT$4=$P19,
               $U19/12,
               1
      ))),0)
))))</f>
        <v>-</v>
      </c>
      <c r="AV19" s="56" t="str">
        <f ca="1">IF($H19=リスト!$AA$4,"-",
   IF($C19="-","-",
     IF(AV$4&gt;$P19,"-",
       IF(AV$4=1,$E19,OFFSET(AV19,0,-2)-OFFSET(AV19,0,-1)
))))</f>
        <v>-</v>
      </c>
      <c r="AW19" s="57" t="str">
        <f>IF($H19=リスト!$AA$4,"-",
 IF($C19="-","-",
  IF(AV$4&gt;$P19,"-",
   CHOOSE(MATCH($H$3,リスト!$AE$3:$AE$5,0),
    ROUNDUP(
      AV19*IF(AV19*$I19&lt;=$L19,$J19,$I19)*
      IF($P19=1,
         $S19/12,
         IF(AV$4=1,
            $T19/12,
            IF(AV$4=$P19,
               $U19/12,
               1
      ))),0),
    ROUNDDOWN(
      AV19*IF(AV19*$I19&lt;=$L19,$J19,$I19)*
      IF($P19=1,
         $S19/12,
         IF(AV$4=1,
            $T19/12,
            IF(AV$4=$P19,
               $U19/12,
               1
      ))),0),
    ROUND(
      AV19*IF(AV19*$I19&lt;=$L19,$J19,$I19)*
      IF($P19=1,
         $S19/12,
         IF(AV$4=1,
            $T19/12,
            IF(AV$4=$P19,
               $U19/12,
               1
      ))),0)
))))</f>
        <v>-</v>
      </c>
      <c r="AX19" s="56" t="str">
        <f ca="1">IF($H19=リスト!$AA$4,"-",
   IF($C19="-","-",
     IF(AX$4&gt;$P19,"-",
       IF(AX$4=1,$E19,OFFSET(AX19,0,-2)-OFFSET(AX19,0,-1)
))))</f>
        <v>-</v>
      </c>
      <c r="AY19" s="57" t="str">
        <f>IF($H19=リスト!$AA$4,"-",
 IF($C19="-","-",
  IF(AX$4&gt;$P19,"-",
   CHOOSE(MATCH($H$3,リスト!$AE$3:$AE$5,0),
    ROUNDUP(
      AX19*IF(AX19*$I19&lt;=$L19,$J19,$I19)*
      IF($P19=1,
         $S19/12,
         IF(AX$4=1,
            $T19/12,
            IF(AX$4=$P19,
               $U19/12,
               1
      ))),0),
    ROUNDDOWN(
      AX19*IF(AX19*$I19&lt;=$L19,$J19,$I19)*
      IF($P19=1,
         $S19/12,
         IF(AX$4=1,
            $T19/12,
            IF(AX$4=$P19,
               $U19/12,
               1
      ))),0),
    ROUND(
      AX19*IF(AX19*$I19&lt;=$L19,$J19,$I19)*
      IF($P19=1,
         $S19/12,
         IF(AX$4=1,
            $T19/12,
            IF(AX$4=$P19,
               $U19/12,
               1
      ))),0)
))))</f>
        <v>-</v>
      </c>
      <c r="AZ19" s="56" t="str">
        <f ca="1">IF($H19=リスト!$AA$4,"-",
   IF($C19="-","-",
     IF(AZ$4&gt;$P19,"-",
       IF(AZ$4=1,$E19,OFFSET(AZ19,0,-2)-OFFSET(AZ19,0,-1)
))))</f>
        <v>-</v>
      </c>
      <c r="BA19" s="57" t="str">
        <f>IF($H19=リスト!$AA$4,"-",
 IF($C19="-","-",
  IF(AZ$4&gt;$P19,"-",
   CHOOSE(MATCH($H$3,リスト!$AE$3:$AE$5,0),
    ROUNDUP(
      AZ19*IF(AZ19*$I19&lt;=$L19,$J19,$I19)*
      IF($P19=1,
         $S19/12,
         IF(AZ$4=1,
            $T19/12,
            IF(AZ$4=$P19,
               $U19/12,
               1
      ))),0),
    ROUNDDOWN(
      AZ19*IF(AZ19*$I19&lt;=$L19,$J19,$I19)*
      IF($P19=1,
         $S19/12,
         IF(AZ$4=1,
            $T19/12,
            IF(AZ$4=$P19,
               $U19/12,
               1
      ))),0),
    ROUND(
      AZ19*IF(AZ19*$I19&lt;=$L19,$J19,$I19)*
      IF($P19=1,
         $S19/12,
         IF(AZ$4=1,
            $T19/12,
            IF(AZ$4=$P19,
               $U19/12,
               1
      ))),0)
))))</f>
        <v>-</v>
      </c>
      <c r="BB19" s="56" t="str">
        <f ca="1">IF($H19=リスト!$AA$4,"-",
   IF($C19="-","-",
     IF(BB$4&gt;$P19,"-",
       IF(BB$4=1,$E19,OFFSET(BB19,0,-2)-OFFSET(BB19,0,-1)
))))</f>
        <v>-</v>
      </c>
      <c r="BC19" s="57" t="str">
        <f>IF($H19=リスト!$AA$4,"-",
 IF($C19="-","-",
  IF(BB$4&gt;$P19,"-",
   CHOOSE(MATCH($H$3,リスト!$AE$3:$AE$5,0),
    ROUNDUP(
      BB19*IF(BB19*$I19&lt;=$L19,$J19,$I19)*
      IF($P19=1,
         $S19/12,
         IF(BB$4=1,
            $T19/12,
            IF(BB$4=$P19,
               $U19/12,
               1
      ))),0),
    ROUNDDOWN(
      BB19*IF(BB19*$I19&lt;=$L19,$J19,$I19)*
      IF($P19=1,
         $S19/12,
         IF(BB$4=1,
            $T19/12,
            IF(BB$4=$P19,
               $U19/12,
               1
      ))),0),
    ROUND(
      BB19*IF(BB19*$I19&lt;=$L19,$J19,$I19)*
      IF($P19=1,
         $S19/12,
         IF(BB$4=1,
            $T19/12,
            IF(BB$4=$P19,
               $U19/12,
               1
      ))),0)
))))</f>
        <v>-</v>
      </c>
      <c r="BD19" s="56" t="str">
        <f ca="1">IF($H19=リスト!$AA$4,"-",
   IF($C19="-","-",
     IF(BD$4&gt;$P19,"-",
       IF(BD$4=1,$E19,OFFSET(BD19,0,-2)-OFFSET(BD19,0,-1)
))))</f>
        <v>-</v>
      </c>
      <c r="BE19" s="57" t="str">
        <f>IF($H19=リスト!$AA$4,"-",
 IF($C19="-","-",
  IF(BD$4&gt;$P19,"-",
   CHOOSE(MATCH($H$3,リスト!$AE$3:$AE$5,0),
    ROUNDUP(
      BD19*IF(BD19*$I19&lt;=$L19,$J19,$I19)*
      IF($P19=1,
         $S19/12,
         IF(BD$4=1,
            $T19/12,
            IF(BD$4=$P19,
               $U19/12,
               1
      ))),0),
    ROUNDDOWN(
      BD19*IF(BD19*$I19&lt;=$L19,$J19,$I19)*
      IF($P19=1,
         $S19/12,
         IF(BD$4=1,
            $T19/12,
            IF(BD$4=$P19,
               $U19/12,
               1
      ))),0),
    ROUND(
      BD19*IF(BD19*$I19&lt;=$L19,$J19,$I19)*
      IF($P19=1,
         $S19/12,
         IF(BD$4=1,
            $T19/12,
            IF(BD$4=$P19,
               $U19/12,
               1
      ))),0)
))))</f>
        <v>-</v>
      </c>
      <c r="BF19" s="56" t="str">
        <f ca="1">IF($H19=リスト!$AA$4,"-",
   IF($C19="-","-",
     IF(BF$4&gt;$P19,"-",
       IF(BF$4=1,$E19,OFFSET(BF19,0,-2)-OFFSET(BF19,0,-1)
))))</f>
        <v>-</v>
      </c>
      <c r="BG19" s="57" t="str">
        <f>IF($H19=リスト!$AA$4,"-",
 IF($C19="-","-",
  IF(BF$4&gt;$P19,"-",
   CHOOSE(MATCH($H$3,リスト!$AE$3:$AE$5,0),
    ROUNDUP(
      BF19*IF(BF19*$I19&lt;=$L19,$J19,$I19)*
      IF($P19=1,
         $S19/12,
         IF(BF$4=1,
            $T19/12,
            IF(BF$4=$P19,
               $U19/12,
               1
      ))),0),
    ROUNDDOWN(
      BF19*IF(BF19*$I19&lt;=$L19,$J19,$I19)*
      IF($P19=1,
         $S19/12,
         IF(BF$4=1,
            $T19/12,
            IF(BF$4=$P19,
               $U19/12,
               1
      ))),0),
    ROUND(
      BF19*IF(BF19*$I19&lt;=$L19,$J19,$I19)*
      IF($P19=1,
         $S19/12,
         IF(BF$4=1,
            $T19/12,
            IF(BF$4=$P19,
               $U19/12,
               1
      ))),0)
))))</f>
        <v>-</v>
      </c>
      <c r="BH19" s="56" t="str">
        <f ca="1">IF($H19=リスト!$AA$4,"-",
   IF($C19="-","-",
     IF(BH$4&gt;$P19,"-",
       IF(BH$4=1,$E19,OFFSET(BH19,0,-2)-OFFSET(BH19,0,-1)
))))</f>
        <v>-</v>
      </c>
      <c r="BI19" s="57" t="str">
        <f>IF($H19=リスト!$AA$4,"-",
 IF($C19="-","-",
  IF(BH$4&gt;$P19,"-",
   CHOOSE(MATCH($H$3,リスト!$AE$3:$AE$5,0),
    ROUNDUP(
      BH19*IF(BH19*$I19&lt;=$L19,$J19,$I19)*
      IF($P19=1,
         $S19/12,
         IF(BH$4=1,
            $T19/12,
            IF(BH$4=$P19,
               $U19/12,
               1
      ))),0),
    ROUNDDOWN(
      BH19*IF(BH19*$I19&lt;=$L19,$J19,$I19)*
      IF($P19=1,
         $S19/12,
         IF(BH$4=1,
            $T19/12,
            IF(BH$4=$P19,
               $U19/12,
               1
      ))),0),
    ROUND(
      BH19*IF(BH19*$I19&lt;=$L19,$J19,$I19)*
      IF($P19=1,
         $S19/12,
         IF(BH$4=1,
            $T19/12,
            IF(BH$4=$P19,
               $U19/12,
               1
      ))),0)
))))</f>
        <v>-</v>
      </c>
      <c r="BJ19" s="56" t="str">
        <f ca="1">IF($H19=リスト!$AA$4,"-",
   IF($C19="-","-",
     IF(BJ$4&gt;$P19,"-",
       IF(BJ$4=1,$E19,OFFSET(BJ19,0,-2)-OFFSET(BJ19,0,-1)
))))</f>
        <v>-</v>
      </c>
      <c r="BK19" s="57" t="str">
        <f>IF($H19=リスト!$AA$4,"-",
 IF($C19="-","-",
  IF(BJ$4&gt;$P19,"-",
   CHOOSE(MATCH($H$3,リスト!$AE$3:$AE$5,0),
    ROUNDUP(
      BJ19*IF(BJ19*$I19&lt;=$L19,$J19,$I19)*
      IF($P19=1,
         $S19/12,
         IF(BJ$4=1,
            $T19/12,
            IF(BJ$4=$P19,
               $U19/12,
               1
      ))),0),
    ROUNDDOWN(
      BJ19*IF(BJ19*$I19&lt;=$L19,$J19,$I19)*
      IF($P19=1,
         $S19/12,
         IF(BJ$4=1,
            $T19/12,
            IF(BJ$4=$P19,
               $U19/12,
               1
      ))),0),
    ROUND(
      BJ19*IF(BJ19*$I19&lt;=$L19,$J19,$I19)*
      IF($P19=1,
         $S19/12,
         IF(BJ$4=1,
            $T19/12,
            IF(BJ$4=$P19,
               $U19/12,
               1
      ))),0)
))))</f>
        <v>-</v>
      </c>
      <c r="BL19" s="56" t="str">
        <f ca="1">IF($H19=リスト!$AA$4,"-",
   IF($C19="-","-",
     IF(BL$4&gt;$P19,"-",
       IF(BL$4=1,$E19,OFFSET(BL19,0,-2)-OFFSET(BL19,0,-1)
))))</f>
        <v>-</v>
      </c>
      <c r="BM19" s="57" t="str">
        <f>IF($H19=リスト!$AA$4,"-",
 IF($C19="-","-",
  IF(BL$4&gt;$P19,"-",
   CHOOSE(MATCH($H$3,リスト!$AE$3:$AE$5,0),
    ROUNDUP(
      BL19*IF(BL19*$I19&lt;=$L19,$J19,$I19)*
      IF($P19=1,
         $S19/12,
         IF(BL$4=1,
            $T19/12,
            IF(BL$4=$P19,
               $U19/12,
               1
      ))),0),
    ROUNDDOWN(
      BL19*IF(BL19*$I19&lt;=$L19,$J19,$I19)*
      IF($P19=1,
         $S19/12,
         IF(BL$4=1,
            $T19/12,
            IF(BL$4=$P19,
               $U19/12,
               1
      ))),0),
    ROUND(
      BL19*IF(BL19*$I19&lt;=$L19,$J19,$I19)*
      IF($P19=1,
         $S19/12,
         IF(BL$4=1,
            $T19/12,
            IF(BL$4=$P19,
               $U19/12,
               1
      ))),0)
))))</f>
        <v>-</v>
      </c>
      <c r="BN19" s="56" t="str">
        <f ca="1">IF($H19=リスト!$AA$4,"-",
   IF($C19="-","-",
     IF(BN$4&gt;$P19,"-",
       IF(BN$4=1,$E19,OFFSET(BN19,0,-2)-OFFSET(BN19,0,-1)
))))</f>
        <v>-</v>
      </c>
      <c r="BO19" s="57" t="str">
        <f>IF($H19=リスト!$AA$4,"-",
 IF($C19="-","-",
  IF(BN$4&gt;$P19,"-",
   CHOOSE(MATCH($H$3,リスト!$AE$3:$AE$5,0),
    ROUNDUP(
      BN19*IF(BN19*$I19&lt;=$L19,$J19,$I19)*
      IF($P19=1,
         $S19/12,
         IF(BN$4=1,
            $T19/12,
            IF(BN$4=$P19,
               $U19/12,
               1
      ))),0),
    ROUNDDOWN(
      BN19*IF(BN19*$I19&lt;=$L19,$J19,$I19)*
      IF($P19=1,
         $S19/12,
         IF(BN$4=1,
            $T19/12,
            IF(BN$4=$P19,
               $U19/12,
               1
      ))),0),
    ROUND(
      BN19*IF(BN19*$I19&lt;=$L19,$J19,$I19)*
      IF($P19=1,
         $S19/12,
         IF(BN$4=1,
            $T19/12,
            IF(BN$4=$P19,
               $U19/12,
               1
      ))),0)
))))</f>
        <v>-</v>
      </c>
      <c r="BP19" s="56" t="str">
        <f ca="1">IF($H19=リスト!$AA$4,"-",
   IF($C19="-","-",
     IF(BP$4&gt;$P19,"-",
       IF(BP$4=1,$E19,OFFSET(BP19,0,-2)-OFFSET(BP19,0,-1)
))))</f>
        <v>-</v>
      </c>
      <c r="BQ19" s="57" t="str">
        <f>IF($H19=リスト!$AA$4,"-",
 IF($C19="-","-",
  IF(BP$4&gt;$P19,"-",
   CHOOSE(MATCH($H$3,リスト!$AE$3:$AE$5,0),
    ROUNDUP(
      BP19*IF(BP19*$I19&lt;=$L19,$J19,$I19)*
      IF($P19=1,
         $S19/12,
         IF(BP$4=1,
            $T19/12,
            IF(BP$4=$P19,
               $U19/12,
               1
      ))),0),
    ROUNDDOWN(
      BP19*IF(BP19*$I19&lt;=$L19,$J19,$I19)*
      IF($P19=1,
         $S19/12,
         IF(BP$4=1,
            $T19/12,
            IF(BP$4=$P19,
               $U19/12,
               1
      ))),0),
    ROUND(
      BP19*IF(BP19*$I19&lt;=$L19,$J19,$I19)*
      IF($P19=1,
         $S19/12,
         IF(BP$4=1,
            $T19/12,
            IF(BP$4=$P19,
               $U19/12,
               1
      ))),0)
))))</f>
        <v>-</v>
      </c>
      <c r="BR19" s="56" t="str">
        <f ca="1">IF($H19=リスト!$AA$4,"-",
   IF($C19="-","-",
     IF(BR$4&gt;$P19,"-",
       IF(BR$4=1,$E19,OFFSET(BR19,0,-2)-OFFSET(BR19,0,-1)
))))</f>
        <v>-</v>
      </c>
      <c r="BS19" s="57" t="str">
        <f>IF($H19=リスト!$AA$4,"-",
 IF($C19="-","-",
  IF(BR$4&gt;$P19,"-",
   CHOOSE(MATCH($H$3,リスト!$AE$3:$AE$5,0),
    ROUNDUP(
      BR19*IF(BR19*$I19&lt;=$L19,$J19,$I19)*
      IF($P19=1,
         $S19/12,
         IF(BR$4=1,
            $T19/12,
            IF(BR$4=$P19,
               $U19/12,
               1
      ))),0),
    ROUNDDOWN(
      BR19*IF(BR19*$I19&lt;=$L19,$J19,$I19)*
      IF($P19=1,
         $S19/12,
         IF(BR$4=1,
            $T19/12,
            IF(BR$4=$P19,
               $U19/12,
               1
      ))),0),
    ROUND(
      BR19*IF(BR19*$I19&lt;=$L19,$J19,$I19)*
      IF($P19=1,
         $S19/12,
         IF(BR$4=1,
            $T19/12,
            IF(BR$4=$P19,
               $U19/12,
               1
      ))),0)
))))</f>
        <v>-</v>
      </c>
      <c r="BT19" s="56" t="str">
        <f ca="1">IF($H19=リスト!$AA$4,"-",
   IF($C19="-","-",
     IF(BT$4&gt;$P19,"-",
       IF(BT$4=1,$E19,OFFSET(BT19,0,-2)-OFFSET(BT19,0,-1)
))))</f>
        <v>-</v>
      </c>
      <c r="BU19" s="57" t="str">
        <f>IF($H19=リスト!$AA$4,"-",
 IF($C19="-","-",
  IF(BT$4&gt;$P19,"-",
   CHOOSE(MATCH($H$3,リスト!$AE$3:$AE$5,0),
    ROUNDUP(
      BT19*IF(BT19*$I19&lt;=$L19,$J19,$I19)*
      IF($P19=1,
         $S19/12,
         IF(BT$4=1,
            $T19/12,
            IF(BT$4=$P19,
               $U19/12,
               1
      ))),0),
    ROUNDDOWN(
      BT19*IF(BT19*$I19&lt;=$L19,$J19,$I19)*
      IF($P19=1,
         $S19/12,
         IF(BT$4=1,
            $T19/12,
            IF(BT$4=$P19,
               $U19/12,
               1
      ))),0),
    ROUND(
      BT19*IF(BT19*$I19&lt;=$L19,$J19,$I19)*
      IF($P19=1,
         $S19/12,
         IF(BT$4=1,
            $T19/12,
            IF(BT$4=$P19,
               $U19/12,
               1
      ))),0)
))))</f>
        <v>-</v>
      </c>
      <c r="BV19" s="56" t="str">
        <f ca="1">IF($H19=リスト!$AA$4,"-",
   IF($C19="-","-",
     IF(BV$4&gt;$P19,"-",
       IF(BV$4=1,$E19,OFFSET(BV19,0,-2)-OFFSET(BV19,0,-1)
))))</f>
        <v>-</v>
      </c>
      <c r="BW19" s="57" t="str">
        <f>IF($H19=リスト!$AA$4,"-",
 IF($C19="-","-",
  IF(BV$4&gt;$P19,"-",
   CHOOSE(MATCH($H$3,リスト!$AE$3:$AE$5,0),
    ROUNDUP(
      BV19*IF(BV19*$I19&lt;=$L19,$J19,$I19)*
      IF($P19=1,
         $S19/12,
         IF(BV$4=1,
            $T19/12,
            IF(BV$4=$P19,
               $U19/12,
               1
      ))),0),
    ROUNDDOWN(
      BV19*IF(BV19*$I19&lt;=$L19,$J19,$I19)*
      IF($P19=1,
         $S19/12,
         IF(BV$4=1,
            $T19/12,
            IF(BV$4=$P19,
               $U19/12,
               1
      ))),0),
    ROUND(
      BV19*IF(BV19*$I19&lt;=$L19,$J19,$I19)*
      IF($P19=1,
         $S19/12,
         IF(BV$4=1,
            $T19/12,
            IF(BV$4=$P19,
               $U19/12,
               1
      ))),0)
))))</f>
        <v>-</v>
      </c>
      <c r="BX19" s="56" t="str">
        <f ca="1">IF($H19=リスト!$AA$4,"-",
   IF($C19="-","-",
     IF(BX$4&gt;$P19,"-",
       IF(BX$4=1,$E19,OFFSET(BX19,0,-2)-OFFSET(BX19,0,-1)
))))</f>
        <v>-</v>
      </c>
      <c r="BY19" s="57" t="str">
        <f>IF($H19=リスト!$AA$4,"-",
 IF($C19="-","-",
  IF(BX$4&gt;$P19,"-",
   CHOOSE(MATCH($H$3,リスト!$AE$3:$AE$5,0),
    ROUNDUP(
      BX19*IF(BX19*$I19&lt;=$L19,$J19,$I19)*
      IF($P19=1,
         $S19/12,
         IF(BX$4=1,
            $T19/12,
            IF(BX$4=$P19,
               $U19/12,
               1
      ))),0),
    ROUNDDOWN(
      BX19*IF(BX19*$I19&lt;=$L19,$J19,$I19)*
      IF($P19=1,
         $S19/12,
         IF(BX$4=1,
            $T19/12,
            IF(BX$4=$P19,
               $U19/12,
               1
      ))),0),
    ROUND(
      BX19*IF(BX19*$I19&lt;=$L19,$J19,$I19)*
      IF($P19=1,
         $S19/12,
         IF(BX$4=1,
            $T19/12,
            IF(BX$4=$P19,
               $U19/12,
               1
      ))),0)
))))</f>
        <v>-</v>
      </c>
      <c r="BZ19" s="56" t="str">
        <f ca="1">IF($H19=リスト!$AA$4,"-",
   IF($C19="-","-",
     IF(BZ$4&gt;$P19,"-",
       IF(BZ$4=1,$E19,OFFSET(BZ19,0,-2)-OFFSET(BZ19,0,-1)
))))</f>
        <v>-</v>
      </c>
      <c r="CA19" s="57" t="str">
        <f>IF($H19=リスト!$AA$4,"-",
 IF($C19="-","-",
  IF(BZ$4&gt;$P19,"-",
   CHOOSE(MATCH($H$3,リスト!$AE$3:$AE$5,0),
    ROUNDUP(
      BZ19*IF(BZ19*$I19&lt;=$L19,$J19,$I19)*
      IF($P19=1,
         $S19/12,
         IF(BZ$4=1,
            $T19/12,
            IF(BZ$4=$P19,
               $U19/12,
               1
      ))),0),
    ROUNDDOWN(
      BZ19*IF(BZ19*$I19&lt;=$L19,$J19,$I19)*
      IF($P19=1,
         $S19/12,
         IF(BZ$4=1,
            $T19/12,
            IF(BZ$4=$P19,
               $U19/12,
               1
      ))),0),
    ROUND(
      BZ19*IF(BZ19*$I19&lt;=$L19,$J19,$I19)*
      IF($P19=1,
         $S19/12,
         IF(BZ$4=1,
            $T19/12,
            IF(BZ$4=$P19,
               $U19/12,
               1
      ))),0)
))))</f>
        <v>-</v>
      </c>
      <c r="CB19" s="56" t="str">
        <f ca="1">IF($H19=リスト!$AA$4,"-",
   IF($C19="-","-",
     IF(CB$4&gt;$P19,"-",
       IF(CB$4=1,$E19,OFFSET(CB19,0,-2)-OFFSET(CB19,0,-1)
))))</f>
        <v>-</v>
      </c>
      <c r="CC19" s="57" t="str">
        <f>IF($H19=リスト!$AA$4,"-",
 IF($C19="-","-",
  IF(CB$4&gt;$P19,"-",
   CHOOSE(MATCH($H$3,リスト!$AE$3:$AE$5,0),
    ROUNDUP(
      CB19*IF(CB19*$I19&lt;=$L19,$J19,$I19)*
      IF($P19=1,
         $S19/12,
         IF(CB$4=1,
            $T19/12,
            IF(CB$4=$P19,
               $U19/12,
               1
      ))),0),
    ROUNDDOWN(
      CB19*IF(CB19*$I19&lt;=$L19,$J19,$I19)*
      IF($P19=1,
         $S19/12,
         IF(CB$4=1,
            $T19/12,
            IF(CB$4=$P19,
               $U19/12,
               1
      ))),0),
    ROUND(
      CB19*IF(CB19*$I19&lt;=$L19,$J19,$I19)*
      IF($P19=1,
         $S19/12,
         IF(CB$4=1,
            $T19/12,
            IF(CB$4=$P19,
               $U19/12,
               1
      ))),0)
))))</f>
        <v>-</v>
      </c>
      <c r="CD19" s="56" t="str">
        <f ca="1">IF($H19=リスト!$AA$4,"-",
   IF($C19="-","-",
     IF(CD$4&gt;$P19,"-",
       IF(CD$4=1,$E19,OFFSET(CD19,0,-2)-OFFSET(CD19,0,-1)
))))</f>
        <v>-</v>
      </c>
      <c r="CE19" s="57" t="str">
        <f>IF($H19=リスト!$AA$4,"-",
 IF($C19="-","-",
  IF(CD$4&gt;$P19,"-",
   CHOOSE(MATCH($H$3,リスト!$AE$3:$AE$5,0),
    ROUNDUP(
      CD19*IF(CD19*$I19&lt;=$L19,$J19,$I19)*
      IF($P19=1,
         $S19/12,
         IF(CD$4=1,
            $T19/12,
            IF(CD$4=$P19,
               $U19/12,
               1
      ))),0),
    ROUNDDOWN(
      CD19*IF(CD19*$I19&lt;=$L19,$J19,$I19)*
      IF($P19=1,
         $S19/12,
         IF(CD$4=1,
            $T19/12,
            IF(CD$4=$P19,
               $U19/12,
               1
      ))),0),
    ROUND(
      CD19*IF(CD19*$I19&lt;=$L19,$J19,$I19)*
      IF($P19=1,
         $S19/12,
         IF(CD$4=1,
            $T19/12,
            IF(CD$4=$P19,
               $U19/12,
               1
      ))),0)
))))</f>
        <v>-</v>
      </c>
      <c r="CF19" s="56" t="str">
        <f ca="1">IF($H19=リスト!$AA$4,"-",
   IF($C19="-","-",
     IF(CF$4&gt;$P19,"-",
       IF(CF$4=1,$E19,OFFSET(CF19,0,-2)-OFFSET(CF19,0,-1)
))))</f>
        <v>-</v>
      </c>
      <c r="CG19" s="57" t="str">
        <f>IF($H19=リスト!$AA$4,"-",
 IF($C19="-","-",
  IF(CF$4&gt;$P19,"-",
   CHOOSE(MATCH($H$3,リスト!$AE$3:$AE$5,0),
    ROUNDUP(
      CF19*IF(CF19*$I19&lt;=$L19,$J19,$I19)*
      IF($P19=1,
         $S19/12,
         IF(CF$4=1,
            $T19/12,
            IF(CF$4=$P19,
               $U19/12,
               1
      ))),0),
    ROUNDDOWN(
      CF19*IF(CF19*$I19&lt;=$L19,$J19,$I19)*
      IF($P19=1,
         $S19/12,
         IF(CF$4=1,
            $T19/12,
            IF(CF$4=$P19,
               $U19/12,
               1
      ))),0),
    ROUND(
      CF19*IF(CF19*$I19&lt;=$L19,$J19,$I19)*
      IF($P19=1,
         $S19/12,
         IF(CF$4=1,
            $T19/12,
            IF(CF$4=$P19,
               $U19/12,
               1
      ))),0)
))))</f>
        <v>-</v>
      </c>
      <c r="CH19" s="56" t="str">
        <f ca="1">IF($H19=リスト!$AA$4,"-",
   IF($C19="-","-",
     IF(CH$4&gt;$P19,"-",
       IF(CH$4=1,$E19,OFFSET(CH19,0,-2)-OFFSET(CH19,0,-1)
))))</f>
        <v>-</v>
      </c>
      <c r="CI19" s="57" t="str">
        <f>IF($H19=リスト!$AA$4,"-",
 IF($C19="-","-",
  IF(CH$4&gt;$P19,"-",
   CHOOSE(MATCH($H$3,リスト!$AE$3:$AE$5,0),
    ROUNDUP(
      CH19*IF(CH19*$I19&lt;=$L19,$J19,$I19)*
      IF($P19=1,
         $S19/12,
         IF(CH$4=1,
            $T19/12,
            IF(CH$4=$P19,
               $U19/12,
               1
      ))),0),
    ROUNDDOWN(
      CH19*IF(CH19*$I19&lt;=$L19,$J19,$I19)*
      IF($P19=1,
         $S19/12,
         IF(CH$4=1,
            $T19/12,
            IF(CH$4=$P19,
               $U19/12,
               1
      ))),0),
    ROUND(
      CH19*IF(CH19*$I19&lt;=$L19,$J19,$I19)*
      IF($P19=1,
         $S19/12,
         IF(CH$4=1,
            $T19/12,
            IF(CH$4=$P19,
               $U19/12,
               1
      ))),0)
))))</f>
        <v>-</v>
      </c>
      <c r="CJ19" s="56" t="str">
        <f ca="1">IF($H19=リスト!$AA$4,"-",
   IF($C19="-","-",
     IF(CJ$4&gt;$P19,"-",
       IF(CJ$4=1,$E19,OFFSET(CJ19,0,-2)-OFFSET(CJ19,0,-1)
))))</f>
        <v>-</v>
      </c>
      <c r="CK19" s="57" t="str">
        <f>IF($H19=リスト!$AA$4,"-",
 IF($C19="-","-",
  IF(CJ$4&gt;$P19,"-",
   CHOOSE(MATCH($H$3,リスト!$AE$3:$AE$5,0),
    ROUNDUP(
      CJ19*IF(CJ19*$I19&lt;=$L19,$J19,$I19)*
      IF($P19=1,
         $S19/12,
         IF(CJ$4=1,
            $T19/12,
            IF(CJ$4=$P19,
               $U19/12,
               1
      ))),0),
    ROUNDDOWN(
      CJ19*IF(CJ19*$I19&lt;=$L19,$J19,$I19)*
      IF($P19=1,
         $S19/12,
         IF(CJ$4=1,
            $T19/12,
            IF(CJ$4=$P19,
               $U19/12,
               1
      ))),0),
    ROUND(
      CJ19*IF(CJ19*$I19&lt;=$L19,$J19,$I19)*
      IF($P19=1,
         $S19/12,
         IF(CJ$4=1,
            $T19/12,
            IF(CJ$4=$P19,
               $U19/12,
               1
      ))),0)
))))</f>
        <v>-</v>
      </c>
      <c r="CL19" s="56" t="str">
        <f ca="1">IF($H19=リスト!$AA$4,"-",
   IF($C19="-","-",
     IF(CL$4&gt;$P19,"-",
       IF(CL$4=1,$E19,OFFSET(CL19,0,-2)-OFFSET(CL19,0,-1)
))))</f>
        <v>-</v>
      </c>
      <c r="CM19" s="57" t="str">
        <f>IF($H19=リスト!$AA$4,"-",
 IF($C19="-","-",
  IF(CL$4&gt;$P19,"-",
   CHOOSE(MATCH($H$3,リスト!$AE$3:$AE$5,0),
    ROUNDUP(
      CL19*IF(CL19*$I19&lt;=$L19,$J19,$I19)*
      IF($P19=1,
         $S19/12,
         IF(CL$4=1,
            $T19/12,
            IF(CL$4=$P19,
               $U19/12,
               1
      ))),0),
    ROUNDDOWN(
      CL19*IF(CL19*$I19&lt;=$L19,$J19,$I19)*
      IF($P19=1,
         $S19/12,
         IF(CL$4=1,
            $T19/12,
            IF(CL$4=$P19,
               $U19/12,
               1
      ))),0),
    ROUND(
      CL19*IF(CL19*$I19&lt;=$L19,$J19,$I19)*
      IF($P19=1,
         $S19/12,
         IF(CL$4=1,
            $T19/12,
            IF(CL$4=$P19,
               $U19/12,
               1
      ))),0)
))))</f>
        <v>-</v>
      </c>
      <c r="CN19" s="56" t="str">
        <f ca="1">IF($H19=リスト!$AA$4,"-",
   IF($C19="-","-",
     IF(CN$4&gt;$P19,"-",
       IF(CN$4=1,$E19,OFFSET(CN19,0,-2)-OFFSET(CN19,0,-1)
))))</f>
        <v>-</v>
      </c>
      <c r="CO19" s="57" t="str">
        <f>IF($H19=リスト!$AA$4,"-",
 IF($C19="-","-",
  IF(CN$4&gt;$P19,"-",
   CHOOSE(MATCH($H$3,リスト!$AE$3:$AE$5,0),
    ROUNDUP(
      CN19*IF(CN19*$I19&lt;=$L19,$J19,$I19)*
      IF($P19=1,
         $S19/12,
         IF(CN$4=1,
            $T19/12,
            IF(CN$4=$P19,
               $U19/12,
               1
      ))),0),
    ROUNDDOWN(
      CN19*IF(CN19*$I19&lt;=$L19,$J19,$I19)*
      IF($P19=1,
         $S19/12,
         IF(CN$4=1,
            $T19/12,
            IF(CN$4=$P19,
               $U19/12,
               1
      ))),0),
    ROUND(
      CN19*IF(CN19*$I19&lt;=$L19,$J19,$I19)*
      IF($P19=1,
         $S19/12,
         IF(CN$4=1,
            $T19/12,
            IF(CN$4=$P19,
               $U19/12,
               1
      ))),0)
))))</f>
        <v>-</v>
      </c>
      <c r="CP19" s="56" t="str">
        <f ca="1">IF($H19=リスト!$AA$4,"-",
   IF($C19="-","-",
     IF(CP$4&gt;$P19,"-",
       IF(CP$4=1,$E19,OFFSET(CP19,0,-2)-OFFSET(CP19,0,-1)
))))</f>
        <v>-</v>
      </c>
      <c r="CQ19" s="57" t="str">
        <f>IF($H19=リスト!$AA$4,"-",
 IF($C19="-","-",
  IF(CP$4&gt;$P19,"-",
   CHOOSE(MATCH($H$3,リスト!$AE$3:$AE$5,0),
    ROUNDUP(
      CP19*IF(CP19*$I19&lt;=$L19,$J19,$I19)*
      IF($P19=1,
         $S19/12,
         IF(CP$4=1,
            $T19/12,
            IF(CP$4=$P19,
               $U19/12,
               1
      ))),0),
    ROUNDDOWN(
      CP19*IF(CP19*$I19&lt;=$L19,$J19,$I19)*
      IF($P19=1,
         $S19/12,
         IF(CP$4=1,
            $T19/12,
            IF(CP$4=$P19,
               $U19/12,
               1
      ))),0),
    ROUND(
      CP19*IF(CP19*$I19&lt;=$L19,$J19,$I19)*
      IF($P19=1,
         $S19/12,
         IF(CP$4=1,
            $T19/12,
            IF(CP$4=$P19,
               $U19/12,
               1
      ))),0)
))))</f>
        <v>-</v>
      </c>
      <c r="CR19" s="56" t="str">
        <f ca="1">IF($H19=リスト!$AA$4,"-",
   IF($C19="-","-",
     IF(CR$4&gt;$P19,"-",
       IF(CR$4=1,$E19,OFFSET(CR19,0,-2)-OFFSET(CR19,0,-1)
))))</f>
        <v>-</v>
      </c>
      <c r="CS19" s="57" t="str">
        <f>IF($H19=リスト!$AA$4,"-",
 IF($C19="-","-",
  IF(CR$4&gt;$P19,"-",
   CHOOSE(MATCH($H$3,リスト!$AE$3:$AE$5,0),
    ROUNDUP(
      CR19*IF(CR19*$I19&lt;=$L19,$J19,$I19)*
      IF($P19=1,
         $S19/12,
         IF(CR$4=1,
            $T19/12,
            IF(CR$4=$P19,
               $U19/12,
               1
      ))),0),
    ROUNDDOWN(
      CR19*IF(CR19*$I19&lt;=$L19,$J19,$I19)*
      IF($P19=1,
         $S19/12,
         IF(CR$4=1,
            $T19/12,
            IF(CR$4=$P19,
               $U19/12,
               1
      ))),0),
    ROUND(
      CR19*IF(CR19*$I19&lt;=$L19,$J19,$I19)*
      IF($P19=1,
         $S19/12,
         IF(CR$4=1,
            $T19/12,
            IF(CR$4=$P19,
               $U19/12,
               1
      ))),0)
))))</f>
        <v>-</v>
      </c>
      <c r="CT19" s="56" t="str">
        <f ca="1">IF($H19=リスト!$AA$4,"-",
   IF($C19="-","-",
     IF(CT$4&gt;$P19,"-",
       IF(CT$4=1,$E19,OFFSET(CT19,0,-2)-OFFSET(CT19,0,-1)
))))</f>
        <v>-</v>
      </c>
      <c r="CU19" s="57" t="str">
        <f>IF($H19=リスト!$AA$4,"-",
 IF($C19="-","-",
  IF(CT$4&gt;$P19,"-",
   CHOOSE(MATCH($H$3,リスト!$AE$3:$AE$5,0),
    ROUNDUP(
      CT19*IF(CT19*$I19&lt;=$L19,$J19,$I19)*
      IF($P19=1,
         $S19/12,
         IF(CT$4=1,
            $T19/12,
            IF(CT$4=$P19,
               $U19/12,
               1
      ))),0),
    ROUNDDOWN(
      CT19*IF(CT19*$I19&lt;=$L19,$J19,$I19)*
      IF($P19=1,
         $S19/12,
         IF(CT$4=1,
            $T19/12,
            IF(CT$4=$P19,
               $U19/12,
               1
      ))),0),
    ROUND(
      CT19*IF(CT19*$I19&lt;=$L19,$J19,$I19)*
      IF($P19=1,
         $S19/12,
         IF(CT$4=1,
            $T19/12,
            IF(CT$4=$P19,
               $U19/12,
               1
      ))),0)
))))</f>
        <v>-</v>
      </c>
      <c r="CV19" s="56" t="str">
        <f ca="1">IF($H19=リスト!$AA$4,"-",
   IF($C19="-","-",
     IF(CV$4&gt;$P19,"-",
       IF(CV$4=1,$E19,OFFSET(CV19,0,-2)-OFFSET(CV19,0,-1)
))))</f>
        <v>-</v>
      </c>
      <c r="CW19" s="57" t="str">
        <f>IF($H19=リスト!$AA$4,"-",
 IF($C19="-","-",
  IF(CV$4&gt;$P19,"-",
   CHOOSE(MATCH($H$3,リスト!$AE$3:$AE$5,0),
    ROUNDUP(
      CV19*IF(CV19*$I19&lt;=$L19,$J19,$I19)*
      IF($P19=1,
         $S19/12,
         IF(CV$4=1,
            $T19/12,
            IF(CV$4=$P19,
               $U19/12,
               1
      ))),0),
    ROUNDDOWN(
      CV19*IF(CV19*$I19&lt;=$L19,$J19,$I19)*
      IF($P19=1,
         $S19/12,
         IF(CV$4=1,
            $T19/12,
            IF(CV$4=$P19,
               $U19/12,
               1
      ))),0),
    ROUND(
      CV19*IF(CV19*$I19&lt;=$L19,$J19,$I19)*
      IF($P19=1,
         $S19/12,
         IF(CV$4=1,
            $T19/12,
            IF(CV$4=$P19,
               $U19/12,
               1
      ))),0)
))))</f>
        <v>-</v>
      </c>
      <c r="CX19" s="56" t="str">
        <f ca="1">IF($H19=リスト!$AA$4,"-",
   IF($C19="-","-",
     IF(CX$4&gt;$P19,"-",
       IF(CX$4=1,$E19,OFFSET(CX19,0,-2)-OFFSET(CX19,0,-1)
))))</f>
        <v>-</v>
      </c>
      <c r="CY19" s="57" t="str">
        <f>IF($H19=リスト!$AA$4,"-",
 IF($C19="-","-",
  IF(CX$4&gt;$P19,"-",
   CHOOSE(MATCH($H$3,リスト!$AE$3:$AE$5,0),
    ROUNDUP(
      CX19*IF(CX19*$I19&lt;=$L19,$J19,$I19)*
      IF($P19=1,
         $S19/12,
         IF(CX$4=1,
            $T19/12,
            IF(CX$4=$P19,
               $U19/12,
               1
      ))),0),
    ROUNDDOWN(
      CX19*IF(CX19*$I19&lt;=$L19,$J19,$I19)*
      IF($P19=1,
         $S19/12,
         IF(CX$4=1,
            $T19/12,
            IF(CX$4=$P19,
               $U19/12,
               1
      ))),0),
    ROUND(
      CX19*IF(CX19*$I19&lt;=$L19,$J19,$I19)*
      IF($P19=1,
         $S19/12,
         IF(CX$4=1,
            $T19/12,
            IF(CX$4=$P19,
               $U19/12,
               1
      ))),0)
))))</f>
        <v>-</v>
      </c>
      <c r="CZ19" s="56" t="str">
        <f ca="1">IF($H19=リスト!$AA$4,"-",
   IF($C19="-","-",
     IF(CZ$4&gt;$P19,"-",
       IF(CZ$4=1,$E19,OFFSET(CZ19,0,-2)-OFFSET(CZ19,0,-1)
))))</f>
        <v>-</v>
      </c>
      <c r="DA19" s="57" t="str">
        <f>IF($H19=リスト!$AA$4,"-",
 IF($C19="-","-",
  IF(CZ$4&gt;$P19,"-",
   CHOOSE(MATCH($H$3,リスト!$AE$3:$AE$5,0),
    ROUNDUP(
      CZ19*IF(CZ19*$I19&lt;=$L19,$J19,$I19)*
      IF($P19=1,
         $S19/12,
         IF(CZ$4=1,
            $T19/12,
            IF(CZ$4=$P19,
               $U19/12,
               1
      ))),0),
    ROUNDDOWN(
      CZ19*IF(CZ19*$I19&lt;=$L19,$J19,$I19)*
      IF($P19=1,
         $S19/12,
         IF(CZ$4=1,
            $T19/12,
            IF(CZ$4=$P19,
               $U19/12,
               1
      ))),0),
    ROUND(
      CZ19*IF(CZ19*$I19&lt;=$L19,$J19,$I19)*
      IF($P19=1,
         $S19/12,
         IF(CZ$4=1,
            $T19/12,
            IF(CZ$4=$P19,
               $U19/12,
               1
      ))),0)
))))</f>
        <v>-</v>
      </c>
      <c r="DB19" s="56" t="str">
        <f ca="1">IF($H19=リスト!$AA$4,"-",
   IF($C19="-","-",
     IF(DB$4&gt;$P19,"-",
       IF(DB$4=1,$E19,OFFSET(DB19,0,-2)-OFFSET(DB19,0,-1)
))))</f>
        <v>-</v>
      </c>
      <c r="DC19" s="57" t="str">
        <f>IF($H19=リスト!$AA$4,"-",
 IF($C19="-","-",
  IF(DB$4&gt;$P19,"-",
   CHOOSE(MATCH($H$3,リスト!$AE$3:$AE$5,0),
    ROUNDUP(
      DB19*IF(DB19*$I19&lt;=$L19,$J19,$I19)*
      IF($P19=1,
         $S19/12,
         IF(DB$4=1,
            $T19/12,
            IF(DB$4=$P19,
               $U19/12,
               1
      ))),0),
    ROUNDDOWN(
      DB19*IF(DB19*$I19&lt;=$L19,$J19,$I19)*
      IF($P19=1,
         $S19/12,
         IF(DB$4=1,
            $T19/12,
            IF(DB$4=$P19,
               $U19/12,
               1
      ))),0),
    ROUND(
      DB19*IF(DB19*$I19&lt;=$L19,$J19,$I19)*
      IF($P19=1,
         $S19/12,
         IF(DB$4=1,
            $T19/12,
            IF(DB$4=$P19,
               $U19/12,
               1
      ))),0)
))))</f>
        <v>-</v>
      </c>
      <c r="DD19" s="56" t="str">
        <f ca="1">IF($H19=リスト!$AA$4,"-",
   IF($C19="-","-",
     IF(DD$4&gt;$P19,"-",
       IF(DD$4=1,$E19,OFFSET(DD19,0,-2)-OFFSET(DD19,0,-1)
))))</f>
        <v>-</v>
      </c>
      <c r="DE19" s="57" t="str">
        <f>IF($H19=リスト!$AA$4,"-",
 IF($C19="-","-",
  IF(DD$4&gt;$P19,"-",
   CHOOSE(MATCH($H$3,リスト!$AE$3:$AE$5,0),
    ROUNDUP(
      DD19*IF(DD19*$I19&lt;=$L19,$J19,$I19)*
      IF($P19=1,
         $S19/12,
         IF(DD$4=1,
            $T19/12,
            IF(DD$4=$P19,
               $U19/12,
               1
      ))),0),
    ROUNDDOWN(
      DD19*IF(DD19*$I19&lt;=$L19,$J19,$I19)*
      IF($P19=1,
         $S19/12,
         IF(DD$4=1,
            $T19/12,
            IF(DD$4=$P19,
               $U19/12,
               1
      ))),0),
    ROUND(
      DD19*IF(DD19*$I19&lt;=$L19,$J19,$I19)*
      IF($P19=1,
         $S19/12,
         IF(DD$4=1,
            $T19/12,
            IF(DD$4=$P19,
               $U19/12,
               1
      ))),0)
))))</f>
        <v>-</v>
      </c>
      <c r="DF19" s="56" t="str">
        <f ca="1">IF($H19=リスト!$AA$4,"-",
   IF($C19="-","-",
     IF(DF$4&gt;$P19,"-",
       IF(DF$4=1,$E19,OFFSET(DF19,0,-2)-OFFSET(DF19,0,-1)
))))</f>
        <v>-</v>
      </c>
      <c r="DG19" s="57" t="str">
        <f>IF($H19=リスト!$AA$4,"-",
 IF($C19="-","-",
  IF(DF$4&gt;$P19,"-",
   CHOOSE(MATCH($H$3,リスト!$AE$3:$AE$5,0),
    ROUNDUP(
      DF19*IF(DF19*$I19&lt;=$L19,$J19,$I19)*
      IF($P19=1,
         $S19/12,
         IF(DF$4=1,
            $T19/12,
            IF(DF$4=$P19,
               $U19/12,
               1
      ))),0),
    ROUNDDOWN(
      DF19*IF(DF19*$I19&lt;=$L19,$J19,$I19)*
      IF($P19=1,
         $S19/12,
         IF(DF$4=1,
            $T19/12,
            IF(DF$4=$P19,
               $U19/12,
               1
      ))),0),
    ROUND(
      DF19*IF(DF19*$I19&lt;=$L19,$J19,$I19)*
      IF($P19=1,
         $S19/12,
         IF(DF$4=1,
            $T19/12,
            IF(DF$4=$P19,
               $U19/12,
               1
      ))),0)
))))</f>
        <v>-</v>
      </c>
      <c r="DH19" s="56" t="str">
        <f ca="1">IF($H19=リスト!$AA$4,"-",
   IF($C19="-","-",
     IF(DH$4&gt;$P19,"-",
       IF(DH$4=1,$E19,OFFSET(DH19,0,-2)-OFFSET(DH19,0,-1)
))))</f>
        <v>-</v>
      </c>
      <c r="DI19" s="57" t="str">
        <f>IF($H19=リスト!$AA$4,"-",
 IF($C19="-","-",
  IF(DH$4&gt;$P19,"-",
   CHOOSE(MATCH($H$3,リスト!$AE$3:$AE$5,0),
    ROUNDUP(
      DH19*IF(DH19*$I19&lt;=$L19,$J19,$I19)*
      IF($P19=1,
         $S19/12,
         IF(DH$4=1,
            $T19/12,
            IF(DH$4=$P19,
               $U19/12,
               1
      ))),0),
    ROUNDDOWN(
      DH19*IF(DH19*$I19&lt;=$L19,$J19,$I19)*
      IF($P19=1,
         $S19/12,
         IF(DH$4=1,
            $T19/12,
            IF(DH$4=$P19,
               $U19/12,
               1
      ))),0),
    ROUND(
      DH19*IF(DH19*$I19&lt;=$L19,$J19,$I19)*
      IF($P19=1,
         $S19/12,
         IF(DH$4=1,
            $T19/12,
            IF(DH$4=$P19,
               $U19/12,
               1
      ))),0)
))))</f>
        <v>-</v>
      </c>
      <c r="DJ19" s="56" t="str">
        <f ca="1">IF($H19=リスト!$AA$4,"-",
   IF($C19="-","-",
     IF(DJ$4&gt;$P19,"-",
       IF(DJ$4=1,$E19,OFFSET(DJ19,0,-2)-OFFSET(DJ19,0,-1)
))))</f>
        <v>-</v>
      </c>
      <c r="DK19" s="57" t="str">
        <f>IF($H19=リスト!$AA$4,"-",
 IF($C19="-","-",
  IF(DJ$4&gt;$P19,"-",
   CHOOSE(MATCH($H$3,リスト!$AE$3:$AE$5,0),
    ROUNDUP(
      DJ19*IF(DJ19*$I19&lt;=$L19,$J19,$I19)*
      IF($P19=1,
         $S19/12,
         IF(DJ$4=1,
            $T19/12,
            IF(DJ$4=$P19,
               $U19/12,
               1
      ))),0),
    ROUNDDOWN(
      DJ19*IF(DJ19*$I19&lt;=$L19,$J19,$I19)*
      IF($P19=1,
         $S19/12,
         IF(DJ$4=1,
            $T19/12,
            IF(DJ$4=$P19,
               $U19/12,
               1
      ))),0),
    ROUND(
      DJ19*IF(DJ19*$I19&lt;=$L19,$J19,$I19)*
      IF($P19=1,
         $S19/12,
         IF(DJ$4=1,
            $T19/12,
            IF(DJ$4=$P19,
               $U19/12,
               1
      ))),0)
))))</f>
        <v>-</v>
      </c>
      <c r="DL19" s="56" t="str">
        <f ca="1">IF($H19=リスト!$AA$4,"-",
   IF($C19="-","-",
     IF(DL$4&gt;$P19,"-",
       IF(DL$4=1,$E19,OFFSET(DL19,0,-2)-OFFSET(DL19,0,-1)
))))</f>
        <v>-</v>
      </c>
      <c r="DM19" s="57" t="str">
        <f>IF($H19=リスト!$AA$4,"-",
 IF($C19="-","-",
  IF(DL$4&gt;$P19,"-",
   CHOOSE(MATCH($H$3,リスト!$AE$3:$AE$5,0),
    ROUNDUP(
      DL19*IF(DL19*$I19&lt;=$L19,$J19,$I19)*
      IF($P19=1,
         $S19/12,
         IF(DL$4=1,
            $T19/12,
            IF(DL$4=$P19,
               $U19/12,
               1
      ))),0),
    ROUNDDOWN(
      DL19*IF(DL19*$I19&lt;=$L19,$J19,$I19)*
      IF($P19=1,
         $S19/12,
         IF(DL$4=1,
            $T19/12,
            IF(DL$4=$P19,
               $U19/12,
               1
      ))),0),
    ROUND(
      DL19*IF(DL19*$I19&lt;=$L19,$J19,$I19)*
      IF($P19=1,
         $S19/12,
         IF(DL$4=1,
            $T19/12,
            IF(DL$4=$P19,
               $U19/12,
               1
      ))),0)
))))</f>
        <v>-</v>
      </c>
      <c r="DN19" s="56" t="str">
        <f ca="1">IF($H19=リスト!$AA$4,"-",
   IF($C19="-","-",
     IF(DN$4&gt;$P19,"-",
       IF(DN$4=1,$E19,OFFSET(DN19,0,-2)-OFFSET(DN19,0,-1)
))))</f>
        <v>-</v>
      </c>
      <c r="DO19" s="57" t="str">
        <f>IF($H19=リスト!$AA$4,"-",
 IF($C19="-","-",
  IF(DN$4&gt;$P19,"-",
   CHOOSE(MATCH($H$3,リスト!$AE$3:$AE$5,0),
    ROUNDUP(
      DN19*IF(DN19*$I19&lt;=$L19,$J19,$I19)*
      IF($P19=1,
         $S19/12,
         IF(DN$4=1,
            $T19/12,
            IF(DN$4=$P19,
               $U19/12,
               1
      ))),0),
    ROUNDDOWN(
      DN19*IF(DN19*$I19&lt;=$L19,$J19,$I19)*
      IF($P19=1,
         $S19/12,
         IF(DN$4=1,
            $T19/12,
            IF(DN$4=$P19,
               $U19/12,
               1
      ))),0),
    ROUND(
      DN19*IF(DN19*$I19&lt;=$L19,$J19,$I19)*
      IF($P19=1,
         $S19/12,
         IF(DN$4=1,
            $T19/12,
            IF(DN$4=$P19,
               $U19/12,
               1
      ))),0)
))))</f>
        <v>-</v>
      </c>
      <c r="DP19" s="56" t="str">
        <f ca="1">IF($H19=リスト!$AA$4,"-",
   IF($C19="-","-",
     IF(DP$4&gt;$P19,"-",
       IF(DP$4=1,$E19,OFFSET(DP19,0,-2)-OFFSET(DP19,0,-1)
))))</f>
        <v>-</v>
      </c>
      <c r="DQ19" s="57" t="str">
        <f>IF($H19=リスト!$AA$4,"-",
 IF($C19="-","-",
  IF(DP$4&gt;$P19,"-",
   CHOOSE(MATCH($H$3,リスト!$AE$3:$AE$5,0),
    ROUNDUP(
      DP19*IF(DP19*$I19&lt;=$L19,$J19,$I19)*
      IF($P19=1,
         $S19/12,
         IF(DP$4=1,
            $T19/12,
            IF(DP$4=$P19,
               $U19/12,
               1
      ))),0),
    ROUNDDOWN(
      DP19*IF(DP19*$I19&lt;=$L19,$J19,$I19)*
      IF($P19=1,
         $S19/12,
         IF(DP$4=1,
            $T19/12,
            IF(DP$4=$P19,
               $U19/12,
               1
      ))),0),
    ROUND(
      DP19*IF(DP19*$I19&lt;=$L19,$J19,$I19)*
      IF($P19=1,
         $S19/12,
         IF(DP$4=1,
            $T19/12,
            IF(DP$4=$P19,
               $U19/12,
               1
      ))),0)
))))</f>
        <v>-</v>
      </c>
      <c r="DR19" s="56" t="str">
        <f ca="1">IF($H19=リスト!$AA$4,"-",
   IF($C19="-","-",
     IF(DR$4&gt;$P19,"-",
       IF(DR$4=1,$E19,OFFSET(DR19,0,-2)-OFFSET(DR19,0,-1)
))))</f>
        <v>-</v>
      </c>
      <c r="DS19" s="57" t="str">
        <f>IF($H19=リスト!$AA$4,"-",
 IF($C19="-","-",
  IF(DR$4&gt;$P19,"-",
   CHOOSE(MATCH($H$3,リスト!$AE$3:$AE$5,0),
    ROUNDUP(
      DR19*IF(DR19*$I19&lt;=$L19,$J19,$I19)*
      IF($P19=1,
         ($G19-$F19+1)/$Q19,
         IF(DR$4=1,
            ($M19-$F19+1)/$Q19,
            IF(DR$4=$P19,
               ($G19-$O19+1)/$R19,
               1
      ))),0),
    ROUNDDOWN(
      DR19*IF(DR19*$I19&lt;=$L19,$J19,$I19)*
      IF($P19=1,
         ($G19-$F19+1)/$Q19,
         IF(DR$4=1,
            ($M19-$F19+1)/$Q19,
            IF(DR$4=$P19,
               ($G19-$O19+1)/$R19,
               1
      ))),0),
    ROUND(
      DR19*IF(DR19*$I19&lt;=$L19,$J19,$I19)*
      IF($P19=1,
         ($G19-$F19+1)/$Q19,
         IF(DR$4=1,
            ($M19-$F19+1)/$Q19,
            IF(DR$4=$P19,
               ($G19-$O19+1)/$R19,
               1
      ))),0)
))))</f>
        <v>-</v>
      </c>
      <c r="DT19" s="56" t="str" cm="1">
        <f t="array" ref="DT19">IF($H19&lt;&gt;リスト!$AA$3,"-",$E19-SUMPRODUCT(IFERROR($Y19:$DS19*1,0), --(MOD(COLUMN($Y19:$DS19)-COLUMN($Y19),2)=0)))</f>
        <v>-</v>
      </c>
      <c r="DU19" s="56" t="str">
        <f>IF($H19&lt;&gt;リスト!$AA$4,"-",
    IF($H$3=リスト!$AE$3,$E19-ROUNDUP($E19*I19*$W19/12,0),
    IF($H$3=リスト!$AE$4,$E19-ROUNDDOWN($E19*I19*$W19/12,0),
    IF($H$3=リスト!$AE$5,$E19-ROUND($E19*I19*$W19/12,0),
    "-"))))</f>
        <v>-</v>
      </c>
    </row>
    <row r="20" spans="2:125">
      <c r="B20" s="54">
        <v>15</v>
      </c>
      <c r="C20" s="55" t="str">
        <f>IF('財産処分報告(災害)用'!$C20="","-",'財産処分報告(災害)用'!$C20)</f>
        <v>-</v>
      </c>
      <c r="D20" s="55" t="str">
        <f>'財産処分報告(災害)用'!$E20</f>
        <v>-</v>
      </c>
      <c r="E20" s="56" t="str">
        <f>IF('財産処分報告(災害)用'!$J20="","-",'財産処分報告(災害)用'!$J20)</f>
        <v>-</v>
      </c>
      <c r="F20" s="101" t="str">
        <f>IF('財産処分報告(災害)用'!$K20="","-",'財産処分報告(災害)用'!$K20)</f>
        <v>-</v>
      </c>
      <c r="G20" s="101" t="str">
        <f>IF('財産処分報告(災害)用'!$L20="","-",'財産処分報告(災害)用'!$L20)</f>
        <v>-</v>
      </c>
      <c r="H20" s="55" t="str">
        <f>IF('財産処分報告(災害)用'!$M20="","-",'財産処分報告(災害)用'!$M20)</f>
        <v>-</v>
      </c>
      <c r="I20" s="55" t="str">
        <f>IF(OR($D20="-",$H20="-"),"-",INDEX(リスト!$AG$2:$AI$101,MATCH($D20,リスト!$AG$2:$AG$101,0),MATCH($H20,リスト!$AG$2:$AI$2,0)))</f>
        <v>-</v>
      </c>
      <c r="J20" s="55" t="str">
        <f>IF(OR($D20="-",$H20="-"),"-",IF($H20=リスト!$AA$4,"-",INDEX(リスト!$AG$2:$AK$101,MATCH($D20,リスト!$AG$2:$AG$101,0),4)))</f>
        <v>-</v>
      </c>
      <c r="K20" s="55" t="str">
        <f>IF(OR($D20="-",$H20="-"),"-",IF($H20=リスト!$AA$4,"-",INDEX(リスト!$AG$2:$AK$101,MATCH($D20,リスト!$AG$2:$AG$101,0),5)))</f>
        <v>-</v>
      </c>
      <c r="L20" s="55" t="str">
        <f t="shared" si="0"/>
        <v>-</v>
      </c>
      <c r="M20" s="101" t="str">
        <f t="shared" si="1"/>
        <v>-</v>
      </c>
      <c r="N20" s="101" t="str">
        <f t="shared" si="2"/>
        <v>-</v>
      </c>
      <c r="O20" s="101" t="str">
        <f t="shared" si="3"/>
        <v>-</v>
      </c>
      <c r="P20" s="102" t="str">
        <f t="shared" si="4"/>
        <v>-</v>
      </c>
      <c r="Q20" s="115" t="str">
        <f t="shared" si="5"/>
        <v>-</v>
      </c>
      <c r="R20" s="116" t="str">
        <f t="shared" si="6"/>
        <v>-</v>
      </c>
      <c r="S20" s="102" t="str">
        <f t="shared" si="7"/>
        <v>-</v>
      </c>
      <c r="T20" s="102" t="str">
        <f t="shared" si="8"/>
        <v>-</v>
      </c>
      <c r="U20" s="102" t="str">
        <f t="shared" si="9"/>
        <v>-</v>
      </c>
      <c r="V20" s="102" t="str">
        <f t="shared" si="10"/>
        <v>-</v>
      </c>
      <c r="W20" s="55" t="str">
        <f t="shared" si="11"/>
        <v>-</v>
      </c>
      <c r="X20" s="56" t="str">
        <f ca="1">IF($H20=リスト!$AA$4,"-",
   IF($C20="-","-",
     IF(X$4&gt;$P20,"-",
       IF(X$4=1,$E20,OFFSET(X20,0,-2)-OFFSET(X20,0,-1)
))))</f>
        <v>-</v>
      </c>
      <c r="Y20" s="57" t="str">
        <f>IF($H20=リスト!$AA$4,"-",
 IF($C20="-","-",
  IF(X$4&gt;$P20,"-",
   CHOOSE(MATCH($H$3,リスト!$AE$3:$AE$5,0),
    ROUNDUP(
      X20*IF(X20*$I20&lt;=$L20,$J20,$I20)*
      IF($P20=1,
         $S20/12,
         IF(X$4=1,
            $T20/12,
            IF(X$4=$P20,
               $U20/12,
               1
      ))),0),
    ROUNDDOWN(
      X20*IF(X20*$I20&lt;=$L20,$J20,$I20)*
      IF($P20=1,
         $S20/12,
         IF(X$4=1,
            $T20/12,
            IF(X$4=$P20,
               $U20/12,
               1
      ))),0),
    ROUND(
      X20*IF(X20*$I20&lt;=$L20,$J20,$I20)*
      IF($P20=1,
         $S20/12,
         IF(X$4=1,
            $T20/12,
            IF(X$4=$P20,
               $U20/12,
               1
      ))),0)
))))</f>
        <v>-</v>
      </c>
      <c r="Z20" s="56" t="str">
        <f ca="1">IF($H20=リスト!$AA$4,"-",
   IF($C20="-","-",
     IF(Z$4&gt;$P20,"-",
       IF(Z$4=1,$E20,OFFSET(Z20,0,-2)-OFFSET(Z20,0,-1)
))))</f>
        <v>-</v>
      </c>
      <c r="AA20" s="57" t="str">
        <f>IF($H20=リスト!$AA$4,"-",
 IF($C20="-","-",
  IF(Z$4&gt;$P20,"-",
   CHOOSE(MATCH($H$3,リスト!$AE$3:$AE$5,0),
    ROUNDUP(
      Z20*IF(Z20*$I20&lt;=$L20,$J20,$I20)*
      IF($P20=1,
         $S20/12,
         IF(Z$4=1,
            $T20/12,
            IF(Z$4=$P20,
               $U20/12,
               1
      ))),0),
    ROUNDDOWN(
      Z20*IF(Z20*$I20&lt;=$L20,$J20,$I20)*
      IF($P20=1,
         $S20/12,
         IF(Z$4=1,
            $T20/12,
            IF(Z$4=$P20,
               $U20/12,
               1
      ))),0),
    ROUND(
      Z20*IF(Z20*$I20&lt;=$L20,$J20,$I20)*
      IF($P20=1,
         $S20/12,
         IF(Z$4=1,
            $T20/12,
            IF(Z$4=$P20,
               $U20/12,
               1
      ))),0)
))))</f>
        <v>-</v>
      </c>
      <c r="AB20" s="56" t="str">
        <f ca="1">IF($H20=リスト!$AA$4,"-",
   IF($C20="-","-",
     IF(AB$4&gt;$P20,"-",
       IF(AB$4=1,$E20,OFFSET(AB20,0,-2)-OFFSET(AB20,0,-1)
))))</f>
        <v>-</v>
      </c>
      <c r="AC20" s="57" t="str">
        <f>IF($H20=リスト!$AA$4,"-",
 IF($C20="-","-",
  IF(AB$4&gt;$P20,"-",
   CHOOSE(MATCH($H$3,リスト!$AE$3:$AE$5,0),
    ROUNDUP(
      AB20*IF(AB20*$I20&lt;=$L20,$J20,$I20)*
      IF($P20=1,
         $S20/12,
         IF(AB$4=1,
            $T20/12,
            IF(AB$4=$P20,
               $U20/12,
               1
      ))),0),
    ROUNDDOWN(
      AB20*IF(AB20*$I20&lt;=$L20,$J20,$I20)*
      IF($P20=1,
         $S20/12,
         IF(AB$4=1,
            $T20/12,
            IF(AB$4=$P20,
               $U20/12,
               1
      ))),0),
    ROUND(
      AB20*IF(AB20*$I20&lt;=$L20,$J20,$I20)*
      IF($P20=1,
         $S20/12,
         IF(AB$4=1,
            $T20/12,
            IF(AB$4=$P20,
               $U20/12,
               1
      ))),0)
))))</f>
        <v>-</v>
      </c>
      <c r="AD20" s="56" t="str">
        <f ca="1">IF($H20=リスト!$AA$4,"-",
   IF($C20="-","-",
     IF(AD$4&gt;$P20,"-",
       IF(AD$4=1,$E20,OFFSET(AD20,0,-2)-OFFSET(AD20,0,-1)
))))</f>
        <v>-</v>
      </c>
      <c r="AE20" s="57" t="str">
        <f>IF($H20=リスト!$AA$4,"-",
 IF($C20="-","-",
  IF(AD$4&gt;$P20,"-",
   CHOOSE(MATCH($H$3,リスト!$AE$3:$AE$5,0),
    ROUNDUP(
      AD20*IF(AD20*$I20&lt;=$L20,$J20,$I20)*
      IF($P20=1,
         $S20/12,
         IF(AD$4=1,
            $T20/12,
            IF(AD$4=$P20,
               $U20/12,
               1
      ))),0),
    ROUNDDOWN(
      AD20*IF(AD20*$I20&lt;=$L20,$J20,$I20)*
      IF($P20=1,
         $S20/12,
         IF(AD$4=1,
            $T20/12,
            IF(AD$4=$P20,
               $U20/12,
               1
      ))),0),
    ROUND(
      AD20*IF(AD20*$I20&lt;=$L20,$J20,$I20)*
      IF($P20=1,
         $S20/12,
         IF(AD$4=1,
            $T20/12,
            IF(AD$4=$P20,
               $U20/12,
               1
      ))),0)
))))</f>
        <v>-</v>
      </c>
      <c r="AF20" s="56" t="str">
        <f ca="1">IF($H20=リスト!$AA$4,"-",
   IF($C20="-","-",
     IF(AF$4&gt;$P20,"-",
       IF(AF$4=1,$E20,OFFSET(AF20,0,-2)-OFFSET(AF20,0,-1)
))))</f>
        <v>-</v>
      </c>
      <c r="AG20" s="57" t="str">
        <f>IF($H20=リスト!$AA$4,"-",
 IF($C20="-","-",
  IF(AF$4&gt;$P20,"-",
   CHOOSE(MATCH($H$3,リスト!$AE$3:$AE$5,0),
    ROUNDUP(
      AF20*IF(AF20*$I20&lt;=$L20,$J20,$I20)*
      IF($P20=1,
         $S20/12,
         IF(AF$4=1,
            $T20/12,
            IF(AF$4=$P20,
               $U20/12,
               1
      ))),0),
    ROUNDDOWN(
      AF20*IF(AF20*$I20&lt;=$L20,$J20,$I20)*
      IF($P20=1,
         $S20/12,
         IF(AF$4=1,
            $T20/12,
            IF(AF$4=$P20,
               $U20/12,
               1
      ))),0),
    ROUND(
      AF20*IF(AF20*$I20&lt;=$L20,$J20,$I20)*
      IF($P20=1,
         $S20/12,
         IF(AF$4=1,
            $T20/12,
            IF(AF$4=$P20,
               $U20/12,
               1
      ))),0)
))))</f>
        <v>-</v>
      </c>
      <c r="AH20" s="56" t="str">
        <f ca="1">IF($H20=リスト!$AA$4,"-",
   IF($C20="-","-",
     IF(AH$4&gt;$P20,"-",
       IF(AH$4=1,$E20,OFFSET(AH20,0,-2)-OFFSET(AH20,0,-1)
))))</f>
        <v>-</v>
      </c>
      <c r="AI20" s="57" t="str">
        <f>IF($H20=リスト!$AA$4,"-",
 IF($C20="-","-",
  IF(AH$4&gt;$P20,"-",
   CHOOSE(MATCH($H$3,リスト!$AE$3:$AE$5,0),
    ROUNDUP(
      AH20*IF(AH20*$I20&lt;=$L20,$J20,$I20)*
      IF($P20=1,
         $S20/12,
         IF(AH$4=1,
            $T20/12,
            IF(AH$4=$P20,
               $U20/12,
               1
      ))),0),
    ROUNDDOWN(
      AH20*IF(AH20*$I20&lt;=$L20,$J20,$I20)*
      IF($P20=1,
         $S20/12,
         IF(AH$4=1,
            $T20/12,
            IF(AH$4=$P20,
               $U20/12,
               1
      ))),0),
    ROUND(
      AH20*IF(AH20*$I20&lt;=$L20,$J20,$I20)*
      IF($P20=1,
         $S20/12,
         IF(AH$4=1,
            $T20/12,
            IF(AH$4=$P20,
               $U20/12,
               1
      ))),0)
))))</f>
        <v>-</v>
      </c>
      <c r="AJ20" s="56" t="str">
        <f ca="1">IF($H20=リスト!$AA$4,"-",
   IF($C20="-","-",
     IF(AJ$4&gt;$P20,"-",
       IF(AJ$4=1,$E20,OFFSET(AJ20,0,-2)-OFFSET(AJ20,0,-1)
))))</f>
        <v>-</v>
      </c>
      <c r="AK20" s="57" t="str">
        <f>IF($H20=リスト!$AA$4,"-",
 IF($C20="-","-",
  IF(AJ$4&gt;$P20,"-",
   CHOOSE(MATCH($H$3,リスト!$AE$3:$AE$5,0),
    ROUNDUP(
      AJ20*IF(AJ20*$I20&lt;=$L20,$J20,$I20)*
      IF($P20=1,
         $S20/12,
         IF(AJ$4=1,
            $T20/12,
            IF(AJ$4=$P20,
               $U20/12,
               1
      ))),0),
    ROUNDDOWN(
      AJ20*IF(AJ20*$I20&lt;=$L20,$J20,$I20)*
      IF($P20=1,
         $S20/12,
         IF(AJ$4=1,
            $T20/12,
            IF(AJ$4=$P20,
               $U20/12,
               1
      ))),0),
    ROUND(
      AJ20*IF(AJ20*$I20&lt;=$L20,$J20,$I20)*
      IF($P20=1,
         $S20/12,
         IF(AJ$4=1,
            $T20/12,
            IF(AJ$4=$P20,
               $U20/12,
               1
      ))),0)
))))</f>
        <v>-</v>
      </c>
      <c r="AL20" s="56" t="str">
        <f ca="1">IF($H20=リスト!$AA$4,"-",
   IF($C20="-","-",
     IF(AL$4&gt;$P20,"-",
       IF(AL$4=1,$E20,OFFSET(AL20,0,-2)-OFFSET(AL20,0,-1)
))))</f>
        <v>-</v>
      </c>
      <c r="AM20" s="57" t="str">
        <f>IF($H20=リスト!$AA$4,"-",
 IF($C20="-","-",
  IF(AL$4&gt;$P20,"-",
   CHOOSE(MATCH($H$3,リスト!$AE$3:$AE$5,0),
    ROUNDUP(
      AL20*IF(AL20*$I20&lt;=$L20,$J20,$I20)*
      IF($P20=1,
         $S20/12,
         IF(AL$4=1,
            $T20/12,
            IF(AL$4=$P20,
               $U20/12,
               1
      ))),0),
    ROUNDDOWN(
      AL20*IF(AL20*$I20&lt;=$L20,$J20,$I20)*
      IF($P20=1,
         $S20/12,
         IF(AL$4=1,
            $T20/12,
            IF(AL$4=$P20,
               $U20/12,
               1
      ))),0),
    ROUND(
      AL20*IF(AL20*$I20&lt;=$L20,$J20,$I20)*
      IF($P20=1,
         $S20/12,
         IF(AL$4=1,
            $T20/12,
            IF(AL$4=$P20,
               $U20/12,
               1
      ))),0)
))))</f>
        <v>-</v>
      </c>
      <c r="AN20" s="56" t="str">
        <f ca="1">IF($H20=リスト!$AA$4,"-",
   IF($C20="-","-",
     IF(AN$4&gt;$P20,"-",
       IF(AN$4=1,$E20,OFFSET(AN20,0,-2)-OFFSET(AN20,0,-1)
))))</f>
        <v>-</v>
      </c>
      <c r="AO20" s="57" t="str">
        <f>IF($H20=リスト!$AA$4,"-",
 IF($C20="-","-",
  IF(AN$4&gt;$P20,"-",
   CHOOSE(MATCH($H$3,リスト!$AE$3:$AE$5,0),
    ROUNDUP(
      AN20*IF(AN20*$I20&lt;=$L20,$J20,$I20)*
      IF($P20=1,
         $S20/12,
         IF(AN$4=1,
            $T20/12,
            IF(AN$4=$P20,
               $U20/12,
               1
      ))),0),
    ROUNDDOWN(
      AN20*IF(AN20*$I20&lt;=$L20,$J20,$I20)*
      IF($P20=1,
         $S20/12,
         IF(AN$4=1,
            $T20/12,
            IF(AN$4=$P20,
               $U20/12,
               1
      ))),0),
    ROUND(
      AN20*IF(AN20*$I20&lt;=$L20,$J20,$I20)*
      IF($P20=1,
         $S20/12,
         IF(AN$4=1,
            $T20/12,
            IF(AN$4=$P20,
               $U20/12,
               1
      ))),0)
))))</f>
        <v>-</v>
      </c>
      <c r="AP20" s="56" t="str">
        <f ca="1">IF($H20=リスト!$AA$4,"-",
   IF($C20="-","-",
     IF(AP$4&gt;$P20,"-",
       IF(AP$4=1,$E20,OFFSET(AP20,0,-2)-OFFSET(AP20,0,-1)
))))</f>
        <v>-</v>
      </c>
      <c r="AQ20" s="57" t="str">
        <f>IF($H20=リスト!$AA$4,"-",
 IF($C20="-","-",
  IF(AP$4&gt;$P20,"-",
   CHOOSE(MATCH($H$3,リスト!$AE$3:$AE$5,0),
    ROUNDUP(
      AP20*IF(AP20*$I20&lt;=$L20,$J20,$I20)*
      IF($P20=1,
         $S20/12,
         IF(AP$4=1,
            $T20/12,
            IF(AP$4=$P20,
               $U20/12,
               1
      ))),0),
    ROUNDDOWN(
      AP20*IF(AP20*$I20&lt;=$L20,$J20,$I20)*
      IF($P20=1,
         $S20/12,
         IF(AP$4=1,
            $T20/12,
            IF(AP$4=$P20,
               $U20/12,
               1
      ))),0),
    ROUND(
      AP20*IF(AP20*$I20&lt;=$L20,$J20,$I20)*
      IF($P20=1,
         $S20/12,
         IF(AP$4=1,
            $T20/12,
            IF(AP$4=$P20,
               $U20/12,
               1
      ))),0)
))))</f>
        <v>-</v>
      </c>
      <c r="AR20" s="56" t="str">
        <f ca="1">IF($H20=リスト!$AA$4,"-",
   IF($C20="-","-",
     IF(AR$4&gt;$P20,"-",
       IF(AR$4=1,$E20,OFFSET(AR20,0,-2)-OFFSET(AR20,0,-1)
))))</f>
        <v>-</v>
      </c>
      <c r="AS20" s="57" t="str">
        <f>IF($H20=リスト!$AA$4,"-",
 IF($C20="-","-",
  IF(AR$4&gt;$P20,"-",
   CHOOSE(MATCH($H$3,リスト!$AE$3:$AE$5,0),
    ROUNDUP(
      AR20*IF(AR20*$I20&lt;=$L20,$J20,$I20)*
      IF($P20=1,
         $S20/12,
         IF(AR$4=1,
            $T20/12,
            IF(AR$4=$P20,
               $U20/12,
               1
      ))),0),
    ROUNDDOWN(
      AR20*IF(AR20*$I20&lt;=$L20,$J20,$I20)*
      IF($P20=1,
         $S20/12,
         IF(AR$4=1,
            $T20/12,
            IF(AR$4=$P20,
               $U20/12,
               1
      ))),0),
    ROUND(
      AR20*IF(AR20*$I20&lt;=$L20,$J20,$I20)*
      IF($P20=1,
         $S20/12,
         IF(AR$4=1,
            $T20/12,
            IF(AR$4=$P20,
               $U20/12,
               1
      ))),0)
))))</f>
        <v>-</v>
      </c>
      <c r="AT20" s="56" t="str">
        <f ca="1">IF($H20=リスト!$AA$4,"-",
   IF($C20="-","-",
     IF(AT$4&gt;$P20,"-",
       IF(AT$4=1,$E20,OFFSET(AT20,0,-2)-OFFSET(AT20,0,-1)
))))</f>
        <v>-</v>
      </c>
      <c r="AU20" s="57" t="str">
        <f>IF($H20=リスト!$AA$4,"-",
 IF($C20="-","-",
  IF(AT$4&gt;$P20,"-",
   CHOOSE(MATCH($H$3,リスト!$AE$3:$AE$5,0),
    ROUNDUP(
      AT20*IF(AT20*$I20&lt;=$L20,$J20,$I20)*
      IF($P20=1,
         $S20/12,
         IF(AT$4=1,
            $T20/12,
            IF(AT$4=$P20,
               $U20/12,
               1
      ))),0),
    ROUNDDOWN(
      AT20*IF(AT20*$I20&lt;=$L20,$J20,$I20)*
      IF($P20=1,
         $S20/12,
         IF(AT$4=1,
            $T20/12,
            IF(AT$4=$P20,
               $U20/12,
               1
      ))),0),
    ROUND(
      AT20*IF(AT20*$I20&lt;=$L20,$J20,$I20)*
      IF($P20=1,
         $S20/12,
         IF(AT$4=1,
            $T20/12,
            IF(AT$4=$P20,
               $U20/12,
               1
      ))),0)
))))</f>
        <v>-</v>
      </c>
      <c r="AV20" s="56" t="str">
        <f ca="1">IF($H20=リスト!$AA$4,"-",
   IF($C20="-","-",
     IF(AV$4&gt;$P20,"-",
       IF(AV$4=1,$E20,OFFSET(AV20,0,-2)-OFFSET(AV20,0,-1)
))))</f>
        <v>-</v>
      </c>
      <c r="AW20" s="57" t="str">
        <f>IF($H20=リスト!$AA$4,"-",
 IF($C20="-","-",
  IF(AV$4&gt;$P20,"-",
   CHOOSE(MATCH($H$3,リスト!$AE$3:$AE$5,0),
    ROUNDUP(
      AV20*IF(AV20*$I20&lt;=$L20,$J20,$I20)*
      IF($P20=1,
         $S20/12,
         IF(AV$4=1,
            $T20/12,
            IF(AV$4=$P20,
               $U20/12,
               1
      ))),0),
    ROUNDDOWN(
      AV20*IF(AV20*$I20&lt;=$L20,$J20,$I20)*
      IF($P20=1,
         $S20/12,
         IF(AV$4=1,
            $T20/12,
            IF(AV$4=$P20,
               $U20/12,
               1
      ))),0),
    ROUND(
      AV20*IF(AV20*$I20&lt;=$L20,$J20,$I20)*
      IF($P20=1,
         $S20/12,
         IF(AV$4=1,
            $T20/12,
            IF(AV$4=$P20,
               $U20/12,
               1
      ))),0)
))))</f>
        <v>-</v>
      </c>
      <c r="AX20" s="56" t="str">
        <f ca="1">IF($H20=リスト!$AA$4,"-",
   IF($C20="-","-",
     IF(AX$4&gt;$P20,"-",
       IF(AX$4=1,$E20,OFFSET(AX20,0,-2)-OFFSET(AX20,0,-1)
))))</f>
        <v>-</v>
      </c>
      <c r="AY20" s="57" t="str">
        <f>IF($H20=リスト!$AA$4,"-",
 IF($C20="-","-",
  IF(AX$4&gt;$P20,"-",
   CHOOSE(MATCH($H$3,リスト!$AE$3:$AE$5,0),
    ROUNDUP(
      AX20*IF(AX20*$I20&lt;=$L20,$J20,$I20)*
      IF($P20=1,
         $S20/12,
         IF(AX$4=1,
            $T20/12,
            IF(AX$4=$P20,
               $U20/12,
               1
      ))),0),
    ROUNDDOWN(
      AX20*IF(AX20*$I20&lt;=$L20,$J20,$I20)*
      IF($P20=1,
         $S20/12,
         IF(AX$4=1,
            $T20/12,
            IF(AX$4=$P20,
               $U20/12,
               1
      ))),0),
    ROUND(
      AX20*IF(AX20*$I20&lt;=$L20,$J20,$I20)*
      IF($P20=1,
         $S20/12,
         IF(AX$4=1,
            $T20/12,
            IF(AX$4=$P20,
               $U20/12,
               1
      ))),0)
))))</f>
        <v>-</v>
      </c>
      <c r="AZ20" s="56" t="str">
        <f ca="1">IF($H20=リスト!$AA$4,"-",
   IF($C20="-","-",
     IF(AZ$4&gt;$P20,"-",
       IF(AZ$4=1,$E20,OFFSET(AZ20,0,-2)-OFFSET(AZ20,0,-1)
))))</f>
        <v>-</v>
      </c>
      <c r="BA20" s="57" t="str">
        <f>IF($H20=リスト!$AA$4,"-",
 IF($C20="-","-",
  IF(AZ$4&gt;$P20,"-",
   CHOOSE(MATCH($H$3,リスト!$AE$3:$AE$5,0),
    ROUNDUP(
      AZ20*IF(AZ20*$I20&lt;=$L20,$J20,$I20)*
      IF($P20=1,
         $S20/12,
         IF(AZ$4=1,
            $T20/12,
            IF(AZ$4=$P20,
               $U20/12,
               1
      ))),0),
    ROUNDDOWN(
      AZ20*IF(AZ20*$I20&lt;=$L20,$J20,$I20)*
      IF($P20=1,
         $S20/12,
         IF(AZ$4=1,
            $T20/12,
            IF(AZ$4=$P20,
               $U20/12,
               1
      ))),0),
    ROUND(
      AZ20*IF(AZ20*$I20&lt;=$L20,$J20,$I20)*
      IF($P20=1,
         $S20/12,
         IF(AZ$4=1,
            $T20/12,
            IF(AZ$4=$P20,
               $U20/12,
               1
      ))),0)
))))</f>
        <v>-</v>
      </c>
      <c r="BB20" s="56" t="str">
        <f ca="1">IF($H20=リスト!$AA$4,"-",
   IF($C20="-","-",
     IF(BB$4&gt;$P20,"-",
       IF(BB$4=1,$E20,OFFSET(BB20,0,-2)-OFFSET(BB20,0,-1)
))))</f>
        <v>-</v>
      </c>
      <c r="BC20" s="57" t="str">
        <f>IF($H20=リスト!$AA$4,"-",
 IF($C20="-","-",
  IF(BB$4&gt;$P20,"-",
   CHOOSE(MATCH($H$3,リスト!$AE$3:$AE$5,0),
    ROUNDUP(
      BB20*IF(BB20*$I20&lt;=$L20,$J20,$I20)*
      IF($P20=1,
         $S20/12,
         IF(BB$4=1,
            $T20/12,
            IF(BB$4=$P20,
               $U20/12,
               1
      ))),0),
    ROUNDDOWN(
      BB20*IF(BB20*$I20&lt;=$L20,$J20,$I20)*
      IF($P20=1,
         $S20/12,
         IF(BB$4=1,
            $T20/12,
            IF(BB$4=$P20,
               $U20/12,
               1
      ))),0),
    ROUND(
      BB20*IF(BB20*$I20&lt;=$L20,$J20,$I20)*
      IF($P20=1,
         $S20/12,
         IF(BB$4=1,
            $T20/12,
            IF(BB$4=$P20,
               $U20/12,
               1
      ))),0)
))))</f>
        <v>-</v>
      </c>
      <c r="BD20" s="56" t="str">
        <f ca="1">IF($H20=リスト!$AA$4,"-",
   IF($C20="-","-",
     IF(BD$4&gt;$P20,"-",
       IF(BD$4=1,$E20,OFFSET(BD20,0,-2)-OFFSET(BD20,0,-1)
))))</f>
        <v>-</v>
      </c>
      <c r="BE20" s="57" t="str">
        <f>IF($H20=リスト!$AA$4,"-",
 IF($C20="-","-",
  IF(BD$4&gt;$P20,"-",
   CHOOSE(MATCH($H$3,リスト!$AE$3:$AE$5,0),
    ROUNDUP(
      BD20*IF(BD20*$I20&lt;=$L20,$J20,$I20)*
      IF($P20=1,
         $S20/12,
         IF(BD$4=1,
            $T20/12,
            IF(BD$4=$P20,
               $U20/12,
               1
      ))),0),
    ROUNDDOWN(
      BD20*IF(BD20*$I20&lt;=$L20,$J20,$I20)*
      IF($P20=1,
         $S20/12,
         IF(BD$4=1,
            $T20/12,
            IF(BD$4=$P20,
               $U20/12,
               1
      ))),0),
    ROUND(
      BD20*IF(BD20*$I20&lt;=$L20,$J20,$I20)*
      IF($P20=1,
         $S20/12,
         IF(BD$4=1,
            $T20/12,
            IF(BD$4=$P20,
               $U20/12,
               1
      ))),0)
))))</f>
        <v>-</v>
      </c>
      <c r="BF20" s="56" t="str">
        <f ca="1">IF($H20=リスト!$AA$4,"-",
   IF($C20="-","-",
     IF(BF$4&gt;$P20,"-",
       IF(BF$4=1,$E20,OFFSET(BF20,0,-2)-OFFSET(BF20,0,-1)
))))</f>
        <v>-</v>
      </c>
      <c r="BG20" s="57" t="str">
        <f>IF($H20=リスト!$AA$4,"-",
 IF($C20="-","-",
  IF(BF$4&gt;$P20,"-",
   CHOOSE(MATCH($H$3,リスト!$AE$3:$AE$5,0),
    ROUNDUP(
      BF20*IF(BF20*$I20&lt;=$L20,$J20,$I20)*
      IF($P20=1,
         $S20/12,
         IF(BF$4=1,
            $T20/12,
            IF(BF$4=$P20,
               $U20/12,
               1
      ))),0),
    ROUNDDOWN(
      BF20*IF(BF20*$I20&lt;=$L20,$J20,$I20)*
      IF($P20=1,
         $S20/12,
         IF(BF$4=1,
            $T20/12,
            IF(BF$4=$P20,
               $U20/12,
               1
      ))),0),
    ROUND(
      BF20*IF(BF20*$I20&lt;=$L20,$J20,$I20)*
      IF($P20=1,
         $S20/12,
         IF(BF$4=1,
            $T20/12,
            IF(BF$4=$P20,
               $U20/12,
               1
      ))),0)
))))</f>
        <v>-</v>
      </c>
      <c r="BH20" s="56" t="str">
        <f ca="1">IF($H20=リスト!$AA$4,"-",
   IF($C20="-","-",
     IF(BH$4&gt;$P20,"-",
       IF(BH$4=1,$E20,OFFSET(BH20,0,-2)-OFFSET(BH20,0,-1)
))))</f>
        <v>-</v>
      </c>
      <c r="BI20" s="57" t="str">
        <f>IF($H20=リスト!$AA$4,"-",
 IF($C20="-","-",
  IF(BH$4&gt;$P20,"-",
   CHOOSE(MATCH($H$3,リスト!$AE$3:$AE$5,0),
    ROUNDUP(
      BH20*IF(BH20*$I20&lt;=$L20,$J20,$I20)*
      IF($P20=1,
         $S20/12,
         IF(BH$4=1,
            $T20/12,
            IF(BH$4=$P20,
               $U20/12,
               1
      ))),0),
    ROUNDDOWN(
      BH20*IF(BH20*$I20&lt;=$L20,$J20,$I20)*
      IF($P20=1,
         $S20/12,
         IF(BH$4=1,
            $T20/12,
            IF(BH$4=$P20,
               $U20/12,
               1
      ))),0),
    ROUND(
      BH20*IF(BH20*$I20&lt;=$L20,$J20,$I20)*
      IF($P20=1,
         $S20/12,
         IF(BH$4=1,
            $T20/12,
            IF(BH$4=$P20,
               $U20/12,
               1
      ))),0)
))))</f>
        <v>-</v>
      </c>
      <c r="BJ20" s="56" t="str">
        <f ca="1">IF($H20=リスト!$AA$4,"-",
   IF($C20="-","-",
     IF(BJ$4&gt;$P20,"-",
       IF(BJ$4=1,$E20,OFFSET(BJ20,0,-2)-OFFSET(BJ20,0,-1)
))))</f>
        <v>-</v>
      </c>
      <c r="BK20" s="57" t="str">
        <f>IF($H20=リスト!$AA$4,"-",
 IF($C20="-","-",
  IF(BJ$4&gt;$P20,"-",
   CHOOSE(MATCH($H$3,リスト!$AE$3:$AE$5,0),
    ROUNDUP(
      BJ20*IF(BJ20*$I20&lt;=$L20,$J20,$I20)*
      IF($P20=1,
         $S20/12,
         IF(BJ$4=1,
            $T20/12,
            IF(BJ$4=$P20,
               $U20/12,
               1
      ))),0),
    ROUNDDOWN(
      BJ20*IF(BJ20*$I20&lt;=$L20,$J20,$I20)*
      IF($P20=1,
         $S20/12,
         IF(BJ$4=1,
            $T20/12,
            IF(BJ$4=$P20,
               $U20/12,
               1
      ))),0),
    ROUND(
      BJ20*IF(BJ20*$I20&lt;=$L20,$J20,$I20)*
      IF($P20=1,
         $S20/12,
         IF(BJ$4=1,
            $T20/12,
            IF(BJ$4=$P20,
               $U20/12,
               1
      ))),0)
))))</f>
        <v>-</v>
      </c>
      <c r="BL20" s="56" t="str">
        <f ca="1">IF($H20=リスト!$AA$4,"-",
   IF($C20="-","-",
     IF(BL$4&gt;$P20,"-",
       IF(BL$4=1,$E20,OFFSET(BL20,0,-2)-OFFSET(BL20,0,-1)
))))</f>
        <v>-</v>
      </c>
      <c r="BM20" s="57" t="str">
        <f>IF($H20=リスト!$AA$4,"-",
 IF($C20="-","-",
  IF(BL$4&gt;$P20,"-",
   CHOOSE(MATCH($H$3,リスト!$AE$3:$AE$5,0),
    ROUNDUP(
      BL20*IF(BL20*$I20&lt;=$L20,$J20,$I20)*
      IF($P20=1,
         $S20/12,
         IF(BL$4=1,
            $T20/12,
            IF(BL$4=$P20,
               $U20/12,
               1
      ))),0),
    ROUNDDOWN(
      BL20*IF(BL20*$I20&lt;=$L20,$J20,$I20)*
      IF($P20=1,
         $S20/12,
         IF(BL$4=1,
            $T20/12,
            IF(BL$4=$P20,
               $U20/12,
               1
      ))),0),
    ROUND(
      BL20*IF(BL20*$I20&lt;=$L20,$J20,$I20)*
      IF($P20=1,
         $S20/12,
         IF(BL$4=1,
            $T20/12,
            IF(BL$4=$P20,
               $U20/12,
               1
      ))),0)
))))</f>
        <v>-</v>
      </c>
      <c r="BN20" s="56" t="str">
        <f ca="1">IF($H20=リスト!$AA$4,"-",
   IF($C20="-","-",
     IF(BN$4&gt;$P20,"-",
       IF(BN$4=1,$E20,OFFSET(BN20,0,-2)-OFFSET(BN20,0,-1)
))))</f>
        <v>-</v>
      </c>
      <c r="BO20" s="57" t="str">
        <f>IF($H20=リスト!$AA$4,"-",
 IF($C20="-","-",
  IF(BN$4&gt;$P20,"-",
   CHOOSE(MATCH($H$3,リスト!$AE$3:$AE$5,0),
    ROUNDUP(
      BN20*IF(BN20*$I20&lt;=$L20,$J20,$I20)*
      IF($P20=1,
         $S20/12,
         IF(BN$4=1,
            $T20/12,
            IF(BN$4=$P20,
               $U20/12,
               1
      ))),0),
    ROUNDDOWN(
      BN20*IF(BN20*$I20&lt;=$L20,$J20,$I20)*
      IF($P20=1,
         $S20/12,
         IF(BN$4=1,
            $T20/12,
            IF(BN$4=$P20,
               $U20/12,
               1
      ))),0),
    ROUND(
      BN20*IF(BN20*$I20&lt;=$L20,$J20,$I20)*
      IF($P20=1,
         $S20/12,
         IF(BN$4=1,
            $T20/12,
            IF(BN$4=$P20,
               $U20/12,
               1
      ))),0)
))))</f>
        <v>-</v>
      </c>
      <c r="BP20" s="56" t="str">
        <f ca="1">IF($H20=リスト!$AA$4,"-",
   IF($C20="-","-",
     IF(BP$4&gt;$P20,"-",
       IF(BP$4=1,$E20,OFFSET(BP20,0,-2)-OFFSET(BP20,0,-1)
))))</f>
        <v>-</v>
      </c>
      <c r="BQ20" s="57" t="str">
        <f>IF($H20=リスト!$AA$4,"-",
 IF($C20="-","-",
  IF(BP$4&gt;$P20,"-",
   CHOOSE(MATCH($H$3,リスト!$AE$3:$AE$5,0),
    ROUNDUP(
      BP20*IF(BP20*$I20&lt;=$L20,$J20,$I20)*
      IF($P20=1,
         $S20/12,
         IF(BP$4=1,
            $T20/12,
            IF(BP$4=$P20,
               $U20/12,
               1
      ))),0),
    ROUNDDOWN(
      BP20*IF(BP20*$I20&lt;=$L20,$J20,$I20)*
      IF($P20=1,
         $S20/12,
         IF(BP$4=1,
            $T20/12,
            IF(BP$4=$P20,
               $U20/12,
               1
      ))),0),
    ROUND(
      BP20*IF(BP20*$I20&lt;=$L20,$J20,$I20)*
      IF($P20=1,
         $S20/12,
         IF(BP$4=1,
            $T20/12,
            IF(BP$4=$P20,
               $U20/12,
               1
      ))),0)
))))</f>
        <v>-</v>
      </c>
      <c r="BR20" s="56" t="str">
        <f ca="1">IF($H20=リスト!$AA$4,"-",
   IF($C20="-","-",
     IF(BR$4&gt;$P20,"-",
       IF(BR$4=1,$E20,OFFSET(BR20,0,-2)-OFFSET(BR20,0,-1)
))))</f>
        <v>-</v>
      </c>
      <c r="BS20" s="57" t="str">
        <f>IF($H20=リスト!$AA$4,"-",
 IF($C20="-","-",
  IF(BR$4&gt;$P20,"-",
   CHOOSE(MATCH($H$3,リスト!$AE$3:$AE$5,0),
    ROUNDUP(
      BR20*IF(BR20*$I20&lt;=$L20,$J20,$I20)*
      IF($P20=1,
         $S20/12,
         IF(BR$4=1,
            $T20/12,
            IF(BR$4=$P20,
               $U20/12,
               1
      ))),0),
    ROUNDDOWN(
      BR20*IF(BR20*$I20&lt;=$L20,$J20,$I20)*
      IF($P20=1,
         $S20/12,
         IF(BR$4=1,
            $T20/12,
            IF(BR$4=$P20,
               $U20/12,
               1
      ))),0),
    ROUND(
      BR20*IF(BR20*$I20&lt;=$L20,$J20,$I20)*
      IF($P20=1,
         $S20/12,
         IF(BR$4=1,
            $T20/12,
            IF(BR$4=$P20,
               $U20/12,
               1
      ))),0)
))))</f>
        <v>-</v>
      </c>
      <c r="BT20" s="56" t="str">
        <f ca="1">IF($H20=リスト!$AA$4,"-",
   IF($C20="-","-",
     IF(BT$4&gt;$P20,"-",
       IF(BT$4=1,$E20,OFFSET(BT20,0,-2)-OFFSET(BT20,0,-1)
))))</f>
        <v>-</v>
      </c>
      <c r="BU20" s="57" t="str">
        <f>IF($H20=リスト!$AA$4,"-",
 IF($C20="-","-",
  IF(BT$4&gt;$P20,"-",
   CHOOSE(MATCH($H$3,リスト!$AE$3:$AE$5,0),
    ROUNDUP(
      BT20*IF(BT20*$I20&lt;=$L20,$J20,$I20)*
      IF($P20=1,
         $S20/12,
         IF(BT$4=1,
            $T20/12,
            IF(BT$4=$P20,
               $U20/12,
               1
      ))),0),
    ROUNDDOWN(
      BT20*IF(BT20*$I20&lt;=$L20,$J20,$I20)*
      IF($P20=1,
         $S20/12,
         IF(BT$4=1,
            $T20/12,
            IF(BT$4=$P20,
               $U20/12,
               1
      ))),0),
    ROUND(
      BT20*IF(BT20*$I20&lt;=$L20,$J20,$I20)*
      IF($P20=1,
         $S20/12,
         IF(BT$4=1,
            $T20/12,
            IF(BT$4=$P20,
               $U20/12,
               1
      ))),0)
))))</f>
        <v>-</v>
      </c>
      <c r="BV20" s="56" t="str">
        <f ca="1">IF($H20=リスト!$AA$4,"-",
   IF($C20="-","-",
     IF(BV$4&gt;$P20,"-",
       IF(BV$4=1,$E20,OFFSET(BV20,0,-2)-OFFSET(BV20,0,-1)
))))</f>
        <v>-</v>
      </c>
      <c r="BW20" s="57" t="str">
        <f>IF($H20=リスト!$AA$4,"-",
 IF($C20="-","-",
  IF(BV$4&gt;$P20,"-",
   CHOOSE(MATCH($H$3,リスト!$AE$3:$AE$5,0),
    ROUNDUP(
      BV20*IF(BV20*$I20&lt;=$L20,$J20,$I20)*
      IF($P20=1,
         $S20/12,
         IF(BV$4=1,
            $T20/12,
            IF(BV$4=$P20,
               $U20/12,
               1
      ))),0),
    ROUNDDOWN(
      BV20*IF(BV20*$I20&lt;=$L20,$J20,$I20)*
      IF($P20=1,
         $S20/12,
         IF(BV$4=1,
            $T20/12,
            IF(BV$4=$P20,
               $U20/12,
               1
      ))),0),
    ROUND(
      BV20*IF(BV20*$I20&lt;=$L20,$J20,$I20)*
      IF($P20=1,
         $S20/12,
         IF(BV$4=1,
            $T20/12,
            IF(BV$4=$P20,
               $U20/12,
               1
      ))),0)
))))</f>
        <v>-</v>
      </c>
      <c r="BX20" s="56" t="str">
        <f ca="1">IF($H20=リスト!$AA$4,"-",
   IF($C20="-","-",
     IF(BX$4&gt;$P20,"-",
       IF(BX$4=1,$E20,OFFSET(BX20,0,-2)-OFFSET(BX20,0,-1)
))))</f>
        <v>-</v>
      </c>
      <c r="BY20" s="57" t="str">
        <f>IF($H20=リスト!$AA$4,"-",
 IF($C20="-","-",
  IF(BX$4&gt;$P20,"-",
   CHOOSE(MATCH($H$3,リスト!$AE$3:$AE$5,0),
    ROUNDUP(
      BX20*IF(BX20*$I20&lt;=$L20,$J20,$I20)*
      IF($P20=1,
         $S20/12,
         IF(BX$4=1,
            $T20/12,
            IF(BX$4=$P20,
               $U20/12,
               1
      ))),0),
    ROUNDDOWN(
      BX20*IF(BX20*$I20&lt;=$L20,$J20,$I20)*
      IF($P20=1,
         $S20/12,
         IF(BX$4=1,
            $T20/12,
            IF(BX$4=$P20,
               $U20/12,
               1
      ))),0),
    ROUND(
      BX20*IF(BX20*$I20&lt;=$L20,$J20,$I20)*
      IF($P20=1,
         $S20/12,
         IF(BX$4=1,
            $T20/12,
            IF(BX$4=$P20,
               $U20/12,
               1
      ))),0)
))))</f>
        <v>-</v>
      </c>
      <c r="BZ20" s="56" t="str">
        <f ca="1">IF($H20=リスト!$AA$4,"-",
   IF($C20="-","-",
     IF(BZ$4&gt;$P20,"-",
       IF(BZ$4=1,$E20,OFFSET(BZ20,0,-2)-OFFSET(BZ20,0,-1)
))))</f>
        <v>-</v>
      </c>
      <c r="CA20" s="57" t="str">
        <f>IF($H20=リスト!$AA$4,"-",
 IF($C20="-","-",
  IF(BZ$4&gt;$P20,"-",
   CHOOSE(MATCH($H$3,リスト!$AE$3:$AE$5,0),
    ROUNDUP(
      BZ20*IF(BZ20*$I20&lt;=$L20,$J20,$I20)*
      IF($P20=1,
         $S20/12,
         IF(BZ$4=1,
            $T20/12,
            IF(BZ$4=$P20,
               $U20/12,
               1
      ))),0),
    ROUNDDOWN(
      BZ20*IF(BZ20*$I20&lt;=$L20,$J20,$I20)*
      IF($P20=1,
         $S20/12,
         IF(BZ$4=1,
            $T20/12,
            IF(BZ$4=$P20,
               $U20/12,
               1
      ))),0),
    ROUND(
      BZ20*IF(BZ20*$I20&lt;=$L20,$J20,$I20)*
      IF($P20=1,
         $S20/12,
         IF(BZ$4=1,
            $T20/12,
            IF(BZ$4=$P20,
               $U20/12,
               1
      ))),0)
))))</f>
        <v>-</v>
      </c>
      <c r="CB20" s="56" t="str">
        <f ca="1">IF($H20=リスト!$AA$4,"-",
   IF($C20="-","-",
     IF(CB$4&gt;$P20,"-",
       IF(CB$4=1,$E20,OFFSET(CB20,0,-2)-OFFSET(CB20,0,-1)
))))</f>
        <v>-</v>
      </c>
      <c r="CC20" s="57" t="str">
        <f>IF($H20=リスト!$AA$4,"-",
 IF($C20="-","-",
  IF(CB$4&gt;$P20,"-",
   CHOOSE(MATCH($H$3,リスト!$AE$3:$AE$5,0),
    ROUNDUP(
      CB20*IF(CB20*$I20&lt;=$L20,$J20,$I20)*
      IF($P20=1,
         $S20/12,
         IF(CB$4=1,
            $T20/12,
            IF(CB$4=$P20,
               $U20/12,
               1
      ))),0),
    ROUNDDOWN(
      CB20*IF(CB20*$I20&lt;=$L20,$J20,$I20)*
      IF($P20=1,
         $S20/12,
         IF(CB$4=1,
            $T20/12,
            IF(CB$4=$P20,
               $U20/12,
               1
      ))),0),
    ROUND(
      CB20*IF(CB20*$I20&lt;=$L20,$J20,$I20)*
      IF($P20=1,
         $S20/12,
         IF(CB$4=1,
            $T20/12,
            IF(CB$4=$P20,
               $U20/12,
               1
      ))),0)
))))</f>
        <v>-</v>
      </c>
      <c r="CD20" s="56" t="str">
        <f ca="1">IF($H20=リスト!$AA$4,"-",
   IF($C20="-","-",
     IF(CD$4&gt;$P20,"-",
       IF(CD$4=1,$E20,OFFSET(CD20,0,-2)-OFFSET(CD20,0,-1)
))))</f>
        <v>-</v>
      </c>
      <c r="CE20" s="57" t="str">
        <f>IF($H20=リスト!$AA$4,"-",
 IF($C20="-","-",
  IF(CD$4&gt;$P20,"-",
   CHOOSE(MATCH($H$3,リスト!$AE$3:$AE$5,0),
    ROUNDUP(
      CD20*IF(CD20*$I20&lt;=$L20,$J20,$I20)*
      IF($P20=1,
         $S20/12,
         IF(CD$4=1,
            $T20/12,
            IF(CD$4=$P20,
               $U20/12,
               1
      ))),0),
    ROUNDDOWN(
      CD20*IF(CD20*$I20&lt;=$L20,$J20,$I20)*
      IF($P20=1,
         $S20/12,
         IF(CD$4=1,
            $T20/12,
            IF(CD$4=$P20,
               $U20/12,
               1
      ))),0),
    ROUND(
      CD20*IF(CD20*$I20&lt;=$L20,$J20,$I20)*
      IF($P20=1,
         $S20/12,
         IF(CD$4=1,
            $T20/12,
            IF(CD$4=$P20,
               $U20/12,
               1
      ))),0)
))))</f>
        <v>-</v>
      </c>
      <c r="CF20" s="56" t="str">
        <f ca="1">IF($H20=リスト!$AA$4,"-",
   IF($C20="-","-",
     IF(CF$4&gt;$P20,"-",
       IF(CF$4=1,$E20,OFFSET(CF20,0,-2)-OFFSET(CF20,0,-1)
))))</f>
        <v>-</v>
      </c>
      <c r="CG20" s="57" t="str">
        <f>IF($H20=リスト!$AA$4,"-",
 IF($C20="-","-",
  IF(CF$4&gt;$P20,"-",
   CHOOSE(MATCH($H$3,リスト!$AE$3:$AE$5,0),
    ROUNDUP(
      CF20*IF(CF20*$I20&lt;=$L20,$J20,$I20)*
      IF($P20=1,
         $S20/12,
         IF(CF$4=1,
            $T20/12,
            IF(CF$4=$P20,
               $U20/12,
               1
      ))),0),
    ROUNDDOWN(
      CF20*IF(CF20*$I20&lt;=$L20,$J20,$I20)*
      IF($P20=1,
         $S20/12,
         IF(CF$4=1,
            $T20/12,
            IF(CF$4=$P20,
               $U20/12,
               1
      ))),0),
    ROUND(
      CF20*IF(CF20*$I20&lt;=$L20,$J20,$I20)*
      IF($P20=1,
         $S20/12,
         IF(CF$4=1,
            $T20/12,
            IF(CF$4=$P20,
               $U20/12,
               1
      ))),0)
))))</f>
        <v>-</v>
      </c>
      <c r="CH20" s="56" t="str">
        <f ca="1">IF($H20=リスト!$AA$4,"-",
   IF($C20="-","-",
     IF(CH$4&gt;$P20,"-",
       IF(CH$4=1,$E20,OFFSET(CH20,0,-2)-OFFSET(CH20,0,-1)
))))</f>
        <v>-</v>
      </c>
      <c r="CI20" s="57" t="str">
        <f>IF($H20=リスト!$AA$4,"-",
 IF($C20="-","-",
  IF(CH$4&gt;$P20,"-",
   CHOOSE(MATCH($H$3,リスト!$AE$3:$AE$5,0),
    ROUNDUP(
      CH20*IF(CH20*$I20&lt;=$L20,$J20,$I20)*
      IF($P20=1,
         $S20/12,
         IF(CH$4=1,
            $T20/12,
            IF(CH$4=$P20,
               $U20/12,
               1
      ))),0),
    ROUNDDOWN(
      CH20*IF(CH20*$I20&lt;=$L20,$J20,$I20)*
      IF($P20=1,
         $S20/12,
         IF(CH$4=1,
            $T20/12,
            IF(CH$4=$P20,
               $U20/12,
               1
      ))),0),
    ROUND(
      CH20*IF(CH20*$I20&lt;=$L20,$J20,$I20)*
      IF($P20=1,
         $S20/12,
         IF(CH$4=1,
            $T20/12,
            IF(CH$4=$P20,
               $U20/12,
               1
      ))),0)
))))</f>
        <v>-</v>
      </c>
      <c r="CJ20" s="56" t="str">
        <f ca="1">IF($H20=リスト!$AA$4,"-",
   IF($C20="-","-",
     IF(CJ$4&gt;$P20,"-",
       IF(CJ$4=1,$E20,OFFSET(CJ20,0,-2)-OFFSET(CJ20,0,-1)
))))</f>
        <v>-</v>
      </c>
      <c r="CK20" s="57" t="str">
        <f>IF($H20=リスト!$AA$4,"-",
 IF($C20="-","-",
  IF(CJ$4&gt;$P20,"-",
   CHOOSE(MATCH($H$3,リスト!$AE$3:$AE$5,0),
    ROUNDUP(
      CJ20*IF(CJ20*$I20&lt;=$L20,$J20,$I20)*
      IF($P20=1,
         $S20/12,
         IF(CJ$4=1,
            $T20/12,
            IF(CJ$4=$P20,
               $U20/12,
               1
      ))),0),
    ROUNDDOWN(
      CJ20*IF(CJ20*$I20&lt;=$L20,$J20,$I20)*
      IF($P20=1,
         $S20/12,
         IF(CJ$4=1,
            $T20/12,
            IF(CJ$4=$P20,
               $U20/12,
               1
      ))),0),
    ROUND(
      CJ20*IF(CJ20*$I20&lt;=$L20,$J20,$I20)*
      IF($P20=1,
         $S20/12,
         IF(CJ$4=1,
            $T20/12,
            IF(CJ$4=$P20,
               $U20/12,
               1
      ))),0)
))))</f>
        <v>-</v>
      </c>
      <c r="CL20" s="56" t="str">
        <f ca="1">IF($H20=リスト!$AA$4,"-",
   IF($C20="-","-",
     IF(CL$4&gt;$P20,"-",
       IF(CL$4=1,$E20,OFFSET(CL20,0,-2)-OFFSET(CL20,0,-1)
))))</f>
        <v>-</v>
      </c>
      <c r="CM20" s="57" t="str">
        <f>IF($H20=リスト!$AA$4,"-",
 IF($C20="-","-",
  IF(CL$4&gt;$P20,"-",
   CHOOSE(MATCH($H$3,リスト!$AE$3:$AE$5,0),
    ROUNDUP(
      CL20*IF(CL20*$I20&lt;=$L20,$J20,$I20)*
      IF($P20=1,
         $S20/12,
         IF(CL$4=1,
            $T20/12,
            IF(CL$4=$P20,
               $U20/12,
               1
      ))),0),
    ROUNDDOWN(
      CL20*IF(CL20*$I20&lt;=$L20,$J20,$I20)*
      IF($P20=1,
         $S20/12,
         IF(CL$4=1,
            $T20/12,
            IF(CL$4=$P20,
               $U20/12,
               1
      ))),0),
    ROUND(
      CL20*IF(CL20*$I20&lt;=$L20,$J20,$I20)*
      IF($P20=1,
         $S20/12,
         IF(CL$4=1,
            $T20/12,
            IF(CL$4=$P20,
               $U20/12,
               1
      ))),0)
))))</f>
        <v>-</v>
      </c>
      <c r="CN20" s="56" t="str">
        <f ca="1">IF($H20=リスト!$AA$4,"-",
   IF($C20="-","-",
     IF(CN$4&gt;$P20,"-",
       IF(CN$4=1,$E20,OFFSET(CN20,0,-2)-OFFSET(CN20,0,-1)
))))</f>
        <v>-</v>
      </c>
      <c r="CO20" s="57" t="str">
        <f>IF($H20=リスト!$AA$4,"-",
 IF($C20="-","-",
  IF(CN$4&gt;$P20,"-",
   CHOOSE(MATCH($H$3,リスト!$AE$3:$AE$5,0),
    ROUNDUP(
      CN20*IF(CN20*$I20&lt;=$L20,$J20,$I20)*
      IF($P20=1,
         $S20/12,
         IF(CN$4=1,
            $T20/12,
            IF(CN$4=$P20,
               $U20/12,
               1
      ))),0),
    ROUNDDOWN(
      CN20*IF(CN20*$I20&lt;=$L20,$J20,$I20)*
      IF($P20=1,
         $S20/12,
         IF(CN$4=1,
            $T20/12,
            IF(CN$4=$P20,
               $U20/12,
               1
      ))),0),
    ROUND(
      CN20*IF(CN20*$I20&lt;=$L20,$J20,$I20)*
      IF($P20=1,
         $S20/12,
         IF(CN$4=1,
            $T20/12,
            IF(CN$4=$P20,
               $U20/12,
               1
      ))),0)
))))</f>
        <v>-</v>
      </c>
      <c r="CP20" s="56" t="str">
        <f ca="1">IF($H20=リスト!$AA$4,"-",
   IF($C20="-","-",
     IF(CP$4&gt;$P20,"-",
       IF(CP$4=1,$E20,OFFSET(CP20,0,-2)-OFFSET(CP20,0,-1)
))))</f>
        <v>-</v>
      </c>
      <c r="CQ20" s="57" t="str">
        <f>IF($H20=リスト!$AA$4,"-",
 IF($C20="-","-",
  IF(CP$4&gt;$P20,"-",
   CHOOSE(MATCH($H$3,リスト!$AE$3:$AE$5,0),
    ROUNDUP(
      CP20*IF(CP20*$I20&lt;=$L20,$J20,$I20)*
      IF($P20=1,
         $S20/12,
         IF(CP$4=1,
            $T20/12,
            IF(CP$4=$P20,
               $U20/12,
               1
      ))),0),
    ROUNDDOWN(
      CP20*IF(CP20*$I20&lt;=$L20,$J20,$I20)*
      IF($P20=1,
         $S20/12,
         IF(CP$4=1,
            $T20/12,
            IF(CP$4=$P20,
               $U20/12,
               1
      ))),0),
    ROUND(
      CP20*IF(CP20*$I20&lt;=$L20,$J20,$I20)*
      IF($P20=1,
         $S20/12,
         IF(CP$4=1,
            $T20/12,
            IF(CP$4=$P20,
               $U20/12,
               1
      ))),0)
))))</f>
        <v>-</v>
      </c>
      <c r="CR20" s="56" t="str">
        <f ca="1">IF($H20=リスト!$AA$4,"-",
   IF($C20="-","-",
     IF(CR$4&gt;$P20,"-",
       IF(CR$4=1,$E20,OFFSET(CR20,0,-2)-OFFSET(CR20,0,-1)
))))</f>
        <v>-</v>
      </c>
      <c r="CS20" s="57" t="str">
        <f>IF($H20=リスト!$AA$4,"-",
 IF($C20="-","-",
  IF(CR$4&gt;$P20,"-",
   CHOOSE(MATCH($H$3,リスト!$AE$3:$AE$5,0),
    ROUNDUP(
      CR20*IF(CR20*$I20&lt;=$L20,$J20,$I20)*
      IF($P20=1,
         $S20/12,
         IF(CR$4=1,
            $T20/12,
            IF(CR$4=$P20,
               $U20/12,
               1
      ))),0),
    ROUNDDOWN(
      CR20*IF(CR20*$I20&lt;=$L20,$J20,$I20)*
      IF($P20=1,
         $S20/12,
         IF(CR$4=1,
            $T20/12,
            IF(CR$4=$P20,
               $U20/12,
               1
      ))),0),
    ROUND(
      CR20*IF(CR20*$I20&lt;=$L20,$J20,$I20)*
      IF($P20=1,
         $S20/12,
         IF(CR$4=1,
            $T20/12,
            IF(CR$4=$P20,
               $U20/12,
               1
      ))),0)
))))</f>
        <v>-</v>
      </c>
      <c r="CT20" s="56" t="str">
        <f ca="1">IF($H20=リスト!$AA$4,"-",
   IF($C20="-","-",
     IF(CT$4&gt;$P20,"-",
       IF(CT$4=1,$E20,OFFSET(CT20,0,-2)-OFFSET(CT20,0,-1)
))))</f>
        <v>-</v>
      </c>
      <c r="CU20" s="57" t="str">
        <f>IF($H20=リスト!$AA$4,"-",
 IF($C20="-","-",
  IF(CT$4&gt;$P20,"-",
   CHOOSE(MATCH($H$3,リスト!$AE$3:$AE$5,0),
    ROUNDUP(
      CT20*IF(CT20*$I20&lt;=$L20,$J20,$I20)*
      IF($P20=1,
         $S20/12,
         IF(CT$4=1,
            $T20/12,
            IF(CT$4=$P20,
               $U20/12,
               1
      ))),0),
    ROUNDDOWN(
      CT20*IF(CT20*$I20&lt;=$L20,$J20,$I20)*
      IF($P20=1,
         $S20/12,
         IF(CT$4=1,
            $T20/12,
            IF(CT$4=$P20,
               $U20/12,
               1
      ))),0),
    ROUND(
      CT20*IF(CT20*$I20&lt;=$L20,$J20,$I20)*
      IF($P20=1,
         $S20/12,
         IF(CT$4=1,
            $T20/12,
            IF(CT$4=$P20,
               $U20/12,
               1
      ))),0)
))))</f>
        <v>-</v>
      </c>
      <c r="CV20" s="56" t="str">
        <f ca="1">IF($H20=リスト!$AA$4,"-",
   IF($C20="-","-",
     IF(CV$4&gt;$P20,"-",
       IF(CV$4=1,$E20,OFFSET(CV20,0,-2)-OFFSET(CV20,0,-1)
))))</f>
        <v>-</v>
      </c>
      <c r="CW20" s="57" t="str">
        <f>IF($H20=リスト!$AA$4,"-",
 IF($C20="-","-",
  IF(CV$4&gt;$P20,"-",
   CHOOSE(MATCH($H$3,リスト!$AE$3:$AE$5,0),
    ROUNDUP(
      CV20*IF(CV20*$I20&lt;=$L20,$J20,$I20)*
      IF($P20=1,
         $S20/12,
         IF(CV$4=1,
            $T20/12,
            IF(CV$4=$P20,
               $U20/12,
               1
      ))),0),
    ROUNDDOWN(
      CV20*IF(CV20*$I20&lt;=$L20,$J20,$I20)*
      IF($P20=1,
         $S20/12,
         IF(CV$4=1,
            $T20/12,
            IF(CV$4=$P20,
               $U20/12,
               1
      ))),0),
    ROUND(
      CV20*IF(CV20*$I20&lt;=$L20,$J20,$I20)*
      IF($P20=1,
         $S20/12,
         IF(CV$4=1,
            $T20/12,
            IF(CV$4=$P20,
               $U20/12,
               1
      ))),0)
))))</f>
        <v>-</v>
      </c>
      <c r="CX20" s="56" t="str">
        <f ca="1">IF($H20=リスト!$AA$4,"-",
   IF($C20="-","-",
     IF(CX$4&gt;$P20,"-",
       IF(CX$4=1,$E20,OFFSET(CX20,0,-2)-OFFSET(CX20,0,-1)
))))</f>
        <v>-</v>
      </c>
      <c r="CY20" s="57" t="str">
        <f>IF($H20=リスト!$AA$4,"-",
 IF($C20="-","-",
  IF(CX$4&gt;$P20,"-",
   CHOOSE(MATCH($H$3,リスト!$AE$3:$AE$5,0),
    ROUNDUP(
      CX20*IF(CX20*$I20&lt;=$L20,$J20,$I20)*
      IF($P20=1,
         $S20/12,
         IF(CX$4=1,
            $T20/12,
            IF(CX$4=$P20,
               $U20/12,
               1
      ))),0),
    ROUNDDOWN(
      CX20*IF(CX20*$I20&lt;=$L20,$J20,$I20)*
      IF($P20=1,
         $S20/12,
         IF(CX$4=1,
            $T20/12,
            IF(CX$4=$P20,
               $U20/12,
               1
      ))),0),
    ROUND(
      CX20*IF(CX20*$I20&lt;=$L20,$J20,$I20)*
      IF($P20=1,
         $S20/12,
         IF(CX$4=1,
            $T20/12,
            IF(CX$4=$P20,
               $U20/12,
               1
      ))),0)
))))</f>
        <v>-</v>
      </c>
      <c r="CZ20" s="56" t="str">
        <f ca="1">IF($H20=リスト!$AA$4,"-",
   IF($C20="-","-",
     IF(CZ$4&gt;$P20,"-",
       IF(CZ$4=1,$E20,OFFSET(CZ20,0,-2)-OFFSET(CZ20,0,-1)
))))</f>
        <v>-</v>
      </c>
      <c r="DA20" s="57" t="str">
        <f>IF($H20=リスト!$AA$4,"-",
 IF($C20="-","-",
  IF(CZ$4&gt;$P20,"-",
   CHOOSE(MATCH($H$3,リスト!$AE$3:$AE$5,0),
    ROUNDUP(
      CZ20*IF(CZ20*$I20&lt;=$L20,$J20,$I20)*
      IF($P20=1,
         $S20/12,
         IF(CZ$4=1,
            $T20/12,
            IF(CZ$4=$P20,
               $U20/12,
               1
      ))),0),
    ROUNDDOWN(
      CZ20*IF(CZ20*$I20&lt;=$L20,$J20,$I20)*
      IF($P20=1,
         $S20/12,
         IF(CZ$4=1,
            $T20/12,
            IF(CZ$4=$P20,
               $U20/12,
               1
      ))),0),
    ROUND(
      CZ20*IF(CZ20*$I20&lt;=$L20,$J20,$I20)*
      IF($P20=1,
         $S20/12,
         IF(CZ$4=1,
            $T20/12,
            IF(CZ$4=$P20,
               $U20/12,
               1
      ))),0)
))))</f>
        <v>-</v>
      </c>
      <c r="DB20" s="56" t="str">
        <f ca="1">IF($H20=リスト!$AA$4,"-",
   IF($C20="-","-",
     IF(DB$4&gt;$P20,"-",
       IF(DB$4=1,$E20,OFFSET(DB20,0,-2)-OFFSET(DB20,0,-1)
))))</f>
        <v>-</v>
      </c>
      <c r="DC20" s="57" t="str">
        <f>IF($H20=リスト!$AA$4,"-",
 IF($C20="-","-",
  IF(DB$4&gt;$P20,"-",
   CHOOSE(MATCH($H$3,リスト!$AE$3:$AE$5,0),
    ROUNDUP(
      DB20*IF(DB20*$I20&lt;=$L20,$J20,$I20)*
      IF($P20=1,
         $S20/12,
         IF(DB$4=1,
            $T20/12,
            IF(DB$4=$P20,
               $U20/12,
               1
      ))),0),
    ROUNDDOWN(
      DB20*IF(DB20*$I20&lt;=$L20,$J20,$I20)*
      IF($P20=1,
         $S20/12,
         IF(DB$4=1,
            $T20/12,
            IF(DB$4=$P20,
               $U20/12,
               1
      ))),0),
    ROUND(
      DB20*IF(DB20*$I20&lt;=$L20,$J20,$I20)*
      IF($P20=1,
         $S20/12,
         IF(DB$4=1,
            $T20/12,
            IF(DB$4=$P20,
               $U20/12,
               1
      ))),0)
))))</f>
        <v>-</v>
      </c>
      <c r="DD20" s="56" t="str">
        <f ca="1">IF($H20=リスト!$AA$4,"-",
   IF($C20="-","-",
     IF(DD$4&gt;$P20,"-",
       IF(DD$4=1,$E20,OFFSET(DD20,0,-2)-OFFSET(DD20,0,-1)
))))</f>
        <v>-</v>
      </c>
      <c r="DE20" s="57" t="str">
        <f>IF($H20=リスト!$AA$4,"-",
 IF($C20="-","-",
  IF(DD$4&gt;$P20,"-",
   CHOOSE(MATCH($H$3,リスト!$AE$3:$AE$5,0),
    ROUNDUP(
      DD20*IF(DD20*$I20&lt;=$L20,$J20,$I20)*
      IF($P20=1,
         $S20/12,
         IF(DD$4=1,
            $T20/12,
            IF(DD$4=$P20,
               $U20/12,
               1
      ))),0),
    ROUNDDOWN(
      DD20*IF(DD20*$I20&lt;=$L20,$J20,$I20)*
      IF($P20=1,
         $S20/12,
         IF(DD$4=1,
            $T20/12,
            IF(DD$4=$P20,
               $U20/12,
               1
      ))),0),
    ROUND(
      DD20*IF(DD20*$I20&lt;=$L20,$J20,$I20)*
      IF($P20=1,
         $S20/12,
         IF(DD$4=1,
            $T20/12,
            IF(DD$4=$P20,
               $U20/12,
               1
      ))),0)
))))</f>
        <v>-</v>
      </c>
      <c r="DF20" s="56" t="str">
        <f ca="1">IF($H20=リスト!$AA$4,"-",
   IF($C20="-","-",
     IF(DF$4&gt;$P20,"-",
       IF(DF$4=1,$E20,OFFSET(DF20,0,-2)-OFFSET(DF20,0,-1)
))))</f>
        <v>-</v>
      </c>
      <c r="DG20" s="57" t="str">
        <f>IF($H20=リスト!$AA$4,"-",
 IF($C20="-","-",
  IF(DF$4&gt;$P20,"-",
   CHOOSE(MATCH($H$3,リスト!$AE$3:$AE$5,0),
    ROUNDUP(
      DF20*IF(DF20*$I20&lt;=$L20,$J20,$I20)*
      IF($P20=1,
         $S20/12,
         IF(DF$4=1,
            $T20/12,
            IF(DF$4=$P20,
               $U20/12,
               1
      ))),0),
    ROUNDDOWN(
      DF20*IF(DF20*$I20&lt;=$L20,$J20,$I20)*
      IF($P20=1,
         $S20/12,
         IF(DF$4=1,
            $T20/12,
            IF(DF$4=$P20,
               $U20/12,
               1
      ))),0),
    ROUND(
      DF20*IF(DF20*$I20&lt;=$L20,$J20,$I20)*
      IF($P20=1,
         $S20/12,
         IF(DF$4=1,
            $T20/12,
            IF(DF$4=$P20,
               $U20/12,
               1
      ))),0)
))))</f>
        <v>-</v>
      </c>
      <c r="DH20" s="56" t="str">
        <f ca="1">IF($H20=リスト!$AA$4,"-",
   IF($C20="-","-",
     IF(DH$4&gt;$P20,"-",
       IF(DH$4=1,$E20,OFFSET(DH20,0,-2)-OFFSET(DH20,0,-1)
))))</f>
        <v>-</v>
      </c>
      <c r="DI20" s="57" t="str">
        <f>IF($H20=リスト!$AA$4,"-",
 IF($C20="-","-",
  IF(DH$4&gt;$P20,"-",
   CHOOSE(MATCH($H$3,リスト!$AE$3:$AE$5,0),
    ROUNDUP(
      DH20*IF(DH20*$I20&lt;=$L20,$J20,$I20)*
      IF($P20=1,
         $S20/12,
         IF(DH$4=1,
            $T20/12,
            IF(DH$4=$P20,
               $U20/12,
               1
      ))),0),
    ROUNDDOWN(
      DH20*IF(DH20*$I20&lt;=$L20,$J20,$I20)*
      IF($P20=1,
         $S20/12,
         IF(DH$4=1,
            $T20/12,
            IF(DH$4=$P20,
               $U20/12,
               1
      ))),0),
    ROUND(
      DH20*IF(DH20*$I20&lt;=$L20,$J20,$I20)*
      IF($P20=1,
         $S20/12,
         IF(DH$4=1,
            $T20/12,
            IF(DH$4=$P20,
               $U20/12,
               1
      ))),0)
))))</f>
        <v>-</v>
      </c>
      <c r="DJ20" s="56" t="str">
        <f ca="1">IF($H20=リスト!$AA$4,"-",
   IF($C20="-","-",
     IF(DJ$4&gt;$P20,"-",
       IF(DJ$4=1,$E20,OFFSET(DJ20,0,-2)-OFFSET(DJ20,0,-1)
))))</f>
        <v>-</v>
      </c>
      <c r="DK20" s="57" t="str">
        <f>IF($H20=リスト!$AA$4,"-",
 IF($C20="-","-",
  IF(DJ$4&gt;$P20,"-",
   CHOOSE(MATCH($H$3,リスト!$AE$3:$AE$5,0),
    ROUNDUP(
      DJ20*IF(DJ20*$I20&lt;=$L20,$J20,$I20)*
      IF($P20=1,
         $S20/12,
         IF(DJ$4=1,
            $T20/12,
            IF(DJ$4=$P20,
               $U20/12,
               1
      ))),0),
    ROUNDDOWN(
      DJ20*IF(DJ20*$I20&lt;=$L20,$J20,$I20)*
      IF($P20=1,
         $S20/12,
         IF(DJ$4=1,
            $T20/12,
            IF(DJ$4=$P20,
               $U20/12,
               1
      ))),0),
    ROUND(
      DJ20*IF(DJ20*$I20&lt;=$L20,$J20,$I20)*
      IF($P20=1,
         $S20/12,
         IF(DJ$4=1,
            $T20/12,
            IF(DJ$4=$P20,
               $U20/12,
               1
      ))),0)
))))</f>
        <v>-</v>
      </c>
      <c r="DL20" s="56" t="str">
        <f ca="1">IF($H20=リスト!$AA$4,"-",
   IF($C20="-","-",
     IF(DL$4&gt;$P20,"-",
       IF(DL$4=1,$E20,OFFSET(DL20,0,-2)-OFFSET(DL20,0,-1)
))))</f>
        <v>-</v>
      </c>
      <c r="DM20" s="57" t="str">
        <f>IF($H20=リスト!$AA$4,"-",
 IF($C20="-","-",
  IF(DL$4&gt;$P20,"-",
   CHOOSE(MATCH($H$3,リスト!$AE$3:$AE$5,0),
    ROUNDUP(
      DL20*IF(DL20*$I20&lt;=$L20,$J20,$I20)*
      IF($P20=1,
         $S20/12,
         IF(DL$4=1,
            $T20/12,
            IF(DL$4=$P20,
               $U20/12,
               1
      ))),0),
    ROUNDDOWN(
      DL20*IF(DL20*$I20&lt;=$L20,$J20,$I20)*
      IF($P20=1,
         $S20/12,
         IF(DL$4=1,
            $T20/12,
            IF(DL$4=$P20,
               $U20/12,
               1
      ))),0),
    ROUND(
      DL20*IF(DL20*$I20&lt;=$L20,$J20,$I20)*
      IF($P20=1,
         $S20/12,
         IF(DL$4=1,
            $T20/12,
            IF(DL$4=$P20,
               $U20/12,
               1
      ))),0)
))))</f>
        <v>-</v>
      </c>
      <c r="DN20" s="56" t="str">
        <f ca="1">IF($H20=リスト!$AA$4,"-",
   IF($C20="-","-",
     IF(DN$4&gt;$P20,"-",
       IF(DN$4=1,$E20,OFFSET(DN20,0,-2)-OFFSET(DN20,0,-1)
))))</f>
        <v>-</v>
      </c>
      <c r="DO20" s="57" t="str">
        <f>IF($H20=リスト!$AA$4,"-",
 IF($C20="-","-",
  IF(DN$4&gt;$P20,"-",
   CHOOSE(MATCH($H$3,リスト!$AE$3:$AE$5,0),
    ROUNDUP(
      DN20*IF(DN20*$I20&lt;=$L20,$J20,$I20)*
      IF($P20=1,
         $S20/12,
         IF(DN$4=1,
            $T20/12,
            IF(DN$4=$P20,
               $U20/12,
               1
      ))),0),
    ROUNDDOWN(
      DN20*IF(DN20*$I20&lt;=$L20,$J20,$I20)*
      IF($P20=1,
         $S20/12,
         IF(DN$4=1,
            $T20/12,
            IF(DN$4=$P20,
               $U20/12,
               1
      ))),0),
    ROUND(
      DN20*IF(DN20*$I20&lt;=$L20,$J20,$I20)*
      IF($P20=1,
         $S20/12,
         IF(DN$4=1,
            $T20/12,
            IF(DN$4=$P20,
               $U20/12,
               1
      ))),0)
))))</f>
        <v>-</v>
      </c>
      <c r="DP20" s="56" t="str">
        <f ca="1">IF($H20=リスト!$AA$4,"-",
   IF($C20="-","-",
     IF(DP$4&gt;$P20,"-",
       IF(DP$4=1,$E20,OFFSET(DP20,0,-2)-OFFSET(DP20,0,-1)
))))</f>
        <v>-</v>
      </c>
      <c r="DQ20" s="57" t="str">
        <f>IF($H20=リスト!$AA$4,"-",
 IF($C20="-","-",
  IF(DP$4&gt;$P20,"-",
   CHOOSE(MATCH($H$3,リスト!$AE$3:$AE$5,0),
    ROUNDUP(
      DP20*IF(DP20*$I20&lt;=$L20,$J20,$I20)*
      IF($P20=1,
         $S20/12,
         IF(DP$4=1,
            $T20/12,
            IF(DP$4=$P20,
               $U20/12,
               1
      ))),0),
    ROUNDDOWN(
      DP20*IF(DP20*$I20&lt;=$L20,$J20,$I20)*
      IF($P20=1,
         $S20/12,
         IF(DP$4=1,
            $T20/12,
            IF(DP$4=$P20,
               $U20/12,
               1
      ))),0),
    ROUND(
      DP20*IF(DP20*$I20&lt;=$L20,$J20,$I20)*
      IF($P20=1,
         $S20/12,
         IF(DP$4=1,
            $T20/12,
            IF(DP$4=$P20,
               $U20/12,
               1
      ))),0)
))))</f>
        <v>-</v>
      </c>
      <c r="DR20" s="56" t="str">
        <f ca="1">IF($H20=リスト!$AA$4,"-",
   IF($C20="-","-",
     IF(DR$4&gt;$P20,"-",
       IF(DR$4=1,$E20,OFFSET(DR20,0,-2)-OFFSET(DR20,0,-1)
))))</f>
        <v>-</v>
      </c>
      <c r="DS20" s="57" t="str">
        <f>IF($H20=リスト!$AA$4,"-",
 IF($C20="-","-",
  IF(DR$4&gt;$P20,"-",
   CHOOSE(MATCH($H$3,リスト!$AE$3:$AE$5,0),
    ROUNDUP(
      DR20*IF(DR20*$I20&lt;=$L20,$J20,$I20)*
      IF($P20=1,
         ($G20-$F20+1)/$Q20,
         IF(DR$4=1,
            ($M20-$F20+1)/$Q20,
            IF(DR$4=$P20,
               ($G20-$O20+1)/$R20,
               1
      ))),0),
    ROUNDDOWN(
      DR20*IF(DR20*$I20&lt;=$L20,$J20,$I20)*
      IF($P20=1,
         ($G20-$F20+1)/$Q20,
         IF(DR$4=1,
            ($M20-$F20+1)/$Q20,
            IF(DR$4=$P20,
               ($G20-$O20+1)/$R20,
               1
      ))),0),
    ROUND(
      DR20*IF(DR20*$I20&lt;=$L20,$J20,$I20)*
      IF($P20=1,
         ($G20-$F20+1)/$Q20,
         IF(DR$4=1,
            ($M20-$F20+1)/$Q20,
            IF(DR$4=$P20,
               ($G20-$O20+1)/$R20,
               1
      ))),0)
))))</f>
        <v>-</v>
      </c>
      <c r="DT20" s="56" t="str" cm="1">
        <f t="array" ref="DT20">IF($H20&lt;&gt;リスト!$AA$3,"-",$E20-SUMPRODUCT(IFERROR($Y20:$DS20*1,0), --(MOD(COLUMN($Y20:$DS20)-COLUMN($Y20),2)=0)))</f>
        <v>-</v>
      </c>
      <c r="DU20" s="56" t="str">
        <f>IF($H20&lt;&gt;リスト!$AA$4,"-",
    IF($H$3=リスト!$AE$3,$E20-ROUNDUP($E20*I20*$W20/12,0),
    IF($H$3=リスト!$AE$4,$E20-ROUNDDOWN($E20*I20*$W20/12,0),
    IF($H$3=リスト!$AE$5,$E20-ROUND($E20*I20*$W20/12,0),
    "-"))))</f>
        <v>-</v>
      </c>
    </row>
    <row r="21" spans="2:125">
      <c r="B21" s="54">
        <v>16</v>
      </c>
      <c r="C21" s="55" t="str">
        <f>IF('財産処分報告(災害)用'!$C21="","-",'財産処分報告(災害)用'!$C21)</f>
        <v>-</v>
      </c>
      <c r="D21" s="55" t="str">
        <f>'財産処分報告(災害)用'!$E21</f>
        <v>-</v>
      </c>
      <c r="E21" s="56" t="str">
        <f>IF('財産処分報告(災害)用'!$J21="","-",'財産処分報告(災害)用'!$J21)</f>
        <v>-</v>
      </c>
      <c r="F21" s="101" t="str">
        <f>IF('財産処分報告(災害)用'!$K21="","-",'財産処分報告(災害)用'!$K21)</f>
        <v>-</v>
      </c>
      <c r="G21" s="101" t="str">
        <f>IF('財産処分報告(災害)用'!$L21="","-",'財産処分報告(災害)用'!$L21)</f>
        <v>-</v>
      </c>
      <c r="H21" s="55" t="str">
        <f>IF('財産処分報告(災害)用'!$M21="","-",'財産処分報告(災害)用'!$M21)</f>
        <v>-</v>
      </c>
      <c r="I21" s="55" t="str">
        <f>IF(OR($D21="-",$H21="-"),"-",INDEX(リスト!$AG$2:$AI$101,MATCH($D21,リスト!$AG$2:$AG$101,0),MATCH($H21,リスト!$AG$2:$AI$2,0)))</f>
        <v>-</v>
      </c>
      <c r="J21" s="55" t="str">
        <f>IF(OR($D21="-",$H21="-"),"-",IF($H21=リスト!$AA$4,"-",INDEX(リスト!$AG$2:$AK$101,MATCH($D21,リスト!$AG$2:$AG$101,0),4)))</f>
        <v>-</v>
      </c>
      <c r="K21" s="55" t="str">
        <f>IF(OR($D21="-",$H21="-"),"-",IF($H21=リスト!$AA$4,"-",INDEX(リスト!$AG$2:$AK$101,MATCH($D21,リスト!$AG$2:$AG$101,0),5)))</f>
        <v>-</v>
      </c>
      <c r="L21" s="55" t="str">
        <f t="shared" si="0"/>
        <v>-</v>
      </c>
      <c r="M21" s="101" t="str">
        <f t="shared" si="1"/>
        <v>-</v>
      </c>
      <c r="N21" s="101" t="str">
        <f t="shared" si="2"/>
        <v>-</v>
      </c>
      <c r="O21" s="101" t="str">
        <f t="shared" si="3"/>
        <v>-</v>
      </c>
      <c r="P21" s="102" t="str">
        <f t="shared" si="4"/>
        <v>-</v>
      </c>
      <c r="Q21" s="115" t="str">
        <f t="shared" si="5"/>
        <v>-</v>
      </c>
      <c r="R21" s="116" t="str">
        <f t="shared" si="6"/>
        <v>-</v>
      </c>
      <c r="S21" s="102" t="str">
        <f t="shared" si="7"/>
        <v>-</v>
      </c>
      <c r="T21" s="102" t="str">
        <f t="shared" si="8"/>
        <v>-</v>
      </c>
      <c r="U21" s="102" t="str">
        <f t="shared" si="9"/>
        <v>-</v>
      </c>
      <c r="V21" s="102" t="str">
        <f t="shared" si="10"/>
        <v>-</v>
      </c>
      <c r="W21" s="55" t="str">
        <f t="shared" si="11"/>
        <v>-</v>
      </c>
      <c r="X21" s="56" t="str">
        <f ca="1">IF($H21=リスト!$AA$4,"-",
   IF($C21="-","-",
     IF(X$4&gt;$P21,"-",
       IF(X$4=1,$E21,OFFSET(X21,0,-2)-OFFSET(X21,0,-1)
))))</f>
        <v>-</v>
      </c>
      <c r="Y21" s="57" t="str">
        <f>IF($H21=リスト!$AA$4,"-",
 IF($C21="-","-",
  IF(X$4&gt;$P21,"-",
   CHOOSE(MATCH($H$3,リスト!$AE$3:$AE$5,0),
    ROUNDUP(
      X21*IF(X21*$I21&lt;=$L21,$J21,$I21)*
      IF($P21=1,
         $S21/12,
         IF(X$4=1,
            $T21/12,
            IF(X$4=$P21,
               $U21/12,
               1
      ))),0),
    ROUNDDOWN(
      X21*IF(X21*$I21&lt;=$L21,$J21,$I21)*
      IF($P21=1,
         $S21/12,
         IF(X$4=1,
            $T21/12,
            IF(X$4=$P21,
               $U21/12,
               1
      ))),0),
    ROUND(
      X21*IF(X21*$I21&lt;=$L21,$J21,$I21)*
      IF($P21=1,
         $S21/12,
         IF(X$4=1,
            $T21/12,
            IF(X$4=$P21,
               $U21/12,
               1
      ))),0)
))))</f>
        <v>-</v>
      </c>
      <c r="Z21" s="56" t="str">
        <f ca="1">IF($H21=リスト!$AA$4,"-",
   IF($C21="-","-",
     IF(Z$4&gt;$P21,"-",
       IF(Z$4=1,$E21,OFFSET(Z21,0,-2)-OFFSET(Z21,0,-1)
))))</f>
        <v>-</v>
      </c>
      <c r="AA21" s="57" t="str">
        <f>IF($H21=リスト!$AA$4,"-",
 IF($C21="-","-",
  IF(Z$4&gt;$P21,"-",
   CHOOSE(MATCH($H$3,リスト!$AE$3:$AE$5,0),
    ROUNDUP(
      Z21*IF(Z21*$I21&lt;=$L21,$J21,$I21)*
      IF($P21=1,
         $S21/12,
         IF(Z$4=1,
            $T21/12,
            IF(Z$4=$P21,
               $U21/12,
               1
      ))),0),
    ROUNDDOWN(
      Z21*IF(Z21*$I21&lt;=$L21,$J21,$I21)*
      IF($P21=1,
         $S21/12,
         IF(Z$4=1,
            $T21/12,
            IF(Z$4=$P21,
               $U21/12,
               1
      ))),0),
    ROUND(
      Z21*IF(Z21*$I21&lt;=$L21,$J21,$I21)*
      IF($P21=1,
         $S21/12,
         IF(Z$4=1,
            $T21/12,
            IF(Z$4=$P21,
               $U21/12,
               1
      ))),0)
))))</f>
        <v>-</v>
      </c>
      <c r="AB21" s="56" t="str">
        <f ca="1">IF($H21=リスト!$AA$4,"-",
   IF($C21="-","-",
     IF(AB$4&gt;$P21,"-",
       IF(AB$4=1,$E21,OFFSET(AB21,0,-2)-OFFSET(AB21,0,-1)
))))</f>
        <v>-</v>
      </c>
      <c r="AC21" s="57" t="str">
        <f>IF($H21=リスト!$AA$4,"-",
 IF($C21="-","-",
  IF(AB$4&gt;$P21,"-",
   CHOOSE(MATCH($H$3,リスト!$AE$3:$AE$5,0),
    ROUNDUP(
      AB21*IF(AB21*$I21&lt;=$L21,$J21,$I21)*
      IF($P21=1,
         $S21/12,
         IF(AB$4=1,
            $T21/12,
            IF(AB$4=$P21,
               $U21/12,
               1
      ))),0),
    ROUNDDOWN(
      AB21*IF(AB21*$I21&lt;=$L21,$J21,$I21)*
      IF($P21=1,
         $S21/12,
         IF(AB$4=1,
            $T21/12,
            IF(AB$4=$P21,
               $U21/12,
               1
      ))),0),
    ROUND(
      AB21*IF(AB21*$I21&lt;=$L21,$J21,$I21)*
      IF($P21=1,
         $S21/12,
         IF(AB$4=1,
            $T21/12,
            IF(AB$4=$P21,
               $U21/12,
               1
      ))),0)
))))</f>
        <v>-</v>
      </c>
      <c r="AD21" s="56" t="str">
        <f ca="1">IF($H21=リスト!$AA$4,"-",
   IF($C21="-","-",
     IF(AD$4&gt;$P21,"-",
       IF(AD$4=1,$E21,OFFSET(AD21,0,-2)-OFFSET(AD21,0,-1)
))))</f>
        <v>-</v>
      </c>
      <c r="AE21" s="57" t="str">
        <f>IF($H21=リスト!$AA$4,"-",
 IF($C21="-","-",
  IF(AD$4&gt;$P21,"-",
   CHOOSE(MATCH($H$3,リスト!$AE$3:$AE$5,0),
    ROUNDUP(
      AD21*IF(AD21*$I21&lt;=$L21,$J21,$I21)*
      IF($P21=1,
         $S21/12,
         IF(AD$4=1,
            $T21/12,
            IF(AD$4=$P21,
               $U21/12,
               1
      ))),0),
    ROUNDDOWN(
      AD21*IF(AD21*$I21&lt;=$L21,$J21,$I21)*
      IF($P21=1,
         $S21/12,
         IF(AD$4=1,
            $T21/12,
            IF(AD$4=$P21,
               $U21/12,
               1
      ))),0),
    ROUND(
      AD21*IF(AD21*$I21&lt;=$L21,$J21,$I21)*
      IF($P21=1,
         $S21/12,
         IF(AD$4=1,
            $T21/12,
            IF(AD$4=$P21,
               $U21/12,
               1
      ))),0)
))))</f>
        <v>-</v>
      </c>
      <c r="AF21" s="56" t="str">
        <f ca="1">IF($H21=リスト!$AA$4,"-",
   IF($C21="-","-",
     IF(AF$4&gt;$P21,"-",
       IF(AF$4=1,$E21,OFFSET(AF21,0,-2)-OFFSET(AF21,0,-1)
))))</f>
        <v>-</v>
      </c>
      <c r="AG21" s="57" t="str">
        <f>IF($H21=リスト!$AA$4,"-",
 IF($C21="-","-",
  IF(AF$4&gt;$P21,"-",
   CHOOSE(MATCH($H$3,リスト!$AE$3:$AE$5,0),
    ROUNDUP(
      AF21*IF(AF21*$I21&lt;=$L21,$J21,$I21)*
      IF($P21=1,
         $S21/12,
         IF(AF$4=1,
            $T21/12,
            IF(AF$4=$P21,
               $U21/12,
               1
      ))),0),
    ROUNDDOWN(
      AF21*IF(AF21*$I21&lt;=$L21,$J21,$I21)*
      IF($P21=1,
         $S21/12,
         IF(AF$4=1,
            $T21/12,
            IF(AF$4=$P21,
               $U21/12,
               1
      ))),0),
    ROUND(
      AF21*IF(AF21*$I21&lt;=$L21,$J21,$I21)*
      IF($P21=1,
         $S21/12,
         IF(AF$4=1,
            $T21/12,
            IF(AF$4=$P21,
               $U21/12,
               1
      ))),0)
))))</f>
        <v>-</v>
      </c>
      <c r="AH21" s="56" t="str">
        <f ca="1">IF($H21=リスト!$AA$4,"-",
   IF($C21="-","-",
     IF(AH$4&gt;$P21,"-",
       IF(AH$4=1,$E21,OFFSET(AH21,0,-2)-OFFSET(AH21,0,-1)
))))</f>
        <v>-</v>
      </c>
      <c r="AI21" s="57" t="str">
        <f>IF($H21=リスト!$AA$4,"-",
 IF($C21="-","-",
  IF(AH$4&gt;$P21,"-",
   CHOOSE(MATCH($H$3,リスト!$AE$3:$AE$5,0),
    ROUNDUP(
      AH21*IF(AH21*$I21&lt;=$L21,$J21,$I21)*
      IF($P21=1,
         $S21/12,
         IF(AH$4=1,
            $T21/12,
            IF(AH$4=$P21,
               $U21/12,
               1
      ))),0),
    ROUNDDOWN(
      AH21*IF(AH21*$I21&lt;=$L21,$J21,$I21)*
      IF($P21=1,
         $S21/12,
         IF(AH$4=1,
            $T21/12,
            IF(AH$4=$P21,
               $U21/12,
               1
      ))),0),
    ROUND(
      AH21*IF(AH21*$I21&lt;=$L21,$J21,$I21)*
      IF($P21=1,
         $S21/12,
         IF(AH$4=1,
            $T21/12,
            IF(AH$4=$P21,
               $U21/12,
               1
      ))),0)
))))</f>
        <v>-</v>
      </c>
      <c r="AJ21" s="56" t="str">
        <f ca="1">IF($H21=リスト!$AA$4,"-",
   IF($C21="-","-",
     IF(AJ$4&gt;$P21,"-",
       IF(AJ$4=1,$E21,OFFSET(AJ21,0,-2)-OFFSET(AJ21,0,-1)
))))</f>
        <v>-</v>
      </c>
      <c r="AK21" s="57" t="str">
        <f>IF($H21=リスト!$AA$4,"-",
 IF($C21="-","-",
  IF(AJ$4&gt;$P21,"-",
   CHOOSE(MATCH($H$3,リスト!$AE$3:$AE$5,0),
    ROUNDUP(
      AJ21*IF(AJ21*$I21&lt;=$L21,$J21,$I21)*
      IF($P21=1,
         $S21/12,
         IF(AJ$4=1,
            $T21/12,
            IF(AJ$4=$P21,
               $U21/12,
               1
      ))),0),
    ROUNDDOWN(
      AJ21*IF(AJ21*$I21&lt;=$L21,$J21,$I21)*
      IF($P21=1,
         $S21/12,
         IF(AJ$4=1,
            $T21/12,
            IF(AJ$4=$P21,
               $U21/12,
               1
      ))),0),
    ROUND(
      AJ21*IF(AJ21*$I21&lt;=$L21,$J21,$I21)*
      IF($P21=1,
         $S21/12,
         IF(AJ$4=1,
            $T21/12,
            IF(AJ$4=$P21,
               $U21/12,
               1
      ))),0)
))))</f>
        <v>-</v>
      </c>
      <c r="AL21" s="56" t="str">
        <f ca="1">IF($H21=リスト!$AA$4,"-",
   IF($C21="-","-",
     IF(AL$4&gt;$P21,"-",
       IF(AL$4=1,$E21,OFFSET(AL21,0,-2)-OFFSET(AL21,0,-1)
))))</f>
        <v>-</v>
      </c>
      <c r="AM21" s="57" t="str">
        <f>IF($H21=リスト!$AA$4,"-",
 IF($C21="-","-",
  IF(AL$4&gt;$P21,"-",
   CHOOSE(MATCH($H$3,リスト!$AE$3:$AE$5,0),
    ROUNDUP(
      AL21*IF(AL21*$I21&lt;=$L21,$J21,$I21)*
      IF($P21=1,
         $S21/12,
         IF(AL$4=1,
            $T21/12,
            IF(AL$4=$P21,
               $U21/12,
               1
      ))),0),
    ROUNDDOWN(
      AL21*IF(AL21*$I21&lt;=$L21,$J21,$I21)*
      IF($P21=1,
         $S21/12,
         IF(AL$4=1,
            $T21/12,
            IF(AL$4=$P21,
               $U21/12,
               1
      ))),0),
    ROUND(
      AL21*IF(AL21*$I21&lt;=$L21,$J21,$I21)*
      IF($P21=1,
         $S21/12,
         IF(AL$4=1,
            $T21/12,
            IF(AL$4=$P21,
               $U21/12,
               1
      ))),0)
))))</f>
        <v>-</v>
      </c>
      <c r="AN21" s="56" t="str">
        <f ca="1">IF($H21=リスト!$AA$4,"-",
   IF($C21="-","-",
     IF(AN$4&gt;$P21,"-",
       IF(AN$4=1,$E21,OFFSET(AN21,0,-2)-OFFSET(AN21,0,-1)
))))</f>
        <v>-</v>
      </c>
      <c r="AO21" s="57" t="str">
        <f>IF($H21=リスト!$AA$4,"-",
 IF($C21="-","-",
  IF(AN$4&gt;$P21,"-",
   CHOOSE(MATCH($H$3,リスト!$AE$3:$AE$5,0),
    ROUNDUP(
      AN21*IF(AN21*$I21&lt;=$L21,$J21,$I21)*
      IF($P21=1,
         $S21/12,
         IF(AN$4=1,
            $T21/12,
            IF(AN$4=$P21,
               $U21/12,
               1
      ))),0),
    ROUNDDOWN(
      AN21*IF(AN21*$I21&lt;=$L21,$J21,$I21)*
      IF($P21=1,
         $S21/12,
         IF(AN$4=1,
            $T21/12,
            IF(AN$4=$P21,
               $U21/12,
               1
      ))),0),
    ROUND(
      AN21*IF(AN21*$I21&lt;=$L21,$J21,$I21)*
      IF($P21=1,
         $S21/12,
         IF(AN$4=1,
            $T21/12,
            IF(AN$4=$P21,
               $U21/12,
               1
      ))),0)
))))</f>
        <v>-</v>
      </c>
      <c r="AP21" s="56" t="str">
        <f ca="1">IF($H21=リスト!$AA$4,"-",
   IF($C21="-","-",
     IF(AP$4&gt;$P21,"-",
       IF(AP$4=1,$E21,OFFSET(AP21,0,-2)-OFFSET(AP21,0,-1)
))))</f>
        <v>-</v>
      </c>
      <c r="AQ21" s="57" t="str">
        <f>IF($H21=リスト!$AA$4,"-",
 IF($C21="-","-",
  IF(AP$4&gt;$P21,"-",
   CHOOSE(MATCH($H$3,リスト!$AE$3:$AE$5,0),
    ROUNDUP(
      AP21*IF(AP21*$I21&lt;=$L21,$J21,$I21)*
      IF($P21=1,
         $S21/12,
         IF(AP$4=1,
            $T21/12,
            IF(AP$4=$P21,
               $U21/12,
               1
      ))),0),
    ROUNDDOWN(
      AP21*IF(AP21*$I21&lt;=$L21,$J21,$I21)*
      IF($P21=1,
         $S21/12,
         IF(AP$4=1,
            $T21/12,
            IF(AP$4=$P21,
               $U21/12,
               1
      ))),0),
    ROUND(
      AP21*IF(AP21*$I21&lt;=$L21,$J21,$I21)*
      IF($P21=1,
         $S21/12,
         IF(AP$4=1,
            $T21/12,
            IF(AP$4=$P21,
               $U21/12,
               1
      ))),0)
))))</f>
        <v>-</v>
      </c>
      <c r="AR21" s="56" t="str">
        <f ca="1">IF($H21=リスト!$AA$4,"-",
   IF($C21="-","-",
     IF(AR$4&gt;$P21,"-",
       IF(AR$4=1,$E21,OFFSET(AR21,0,-2)-OFFSET(AR21,0,-1)
))))</f>
        <v>-</v>
      </c>
      <c r="AS21" s="57" t="str">
        <f>IF($H21=リスト!$AA$4,"-",
 IF($C21="-","-",
  IF(AR$4&gt;$P21,"-",
   CHOOSE(MATCH($H$3,リスト!$AE$3:$AE$5,0),
    ROUNDUP(
      AR21*IF(AR21*$I21&lt;=$L21,$J21,$I21)*
      IF($P21=1,
         $S21/12,
         IF(AR$4=1,
            $T21/12,
            IF(AR$4=$P21,
               $U21/12,
               1
      ))),0),
    ROUNDDOWN(
      AR21*IF(AR21*$I21&lt;=$L21,$J21,$I21)*
      IF($P21=1,
         $S21/12,
         IF(AR$4=1,
            $T21/12,
            IF(AR$4=$P21,
               $U21/12,
               1
      ))),0),
    ROUND(
      AR21*IF(AR21*$I21&lt;=$L21,$J21,$I21)*
      IF($P21=1,
         $S21/12,
         IF(AR$4=1,
            $T21/12,
            IF(AR$4=$P21,
               $U21/12,
               1
      ))),0)
))))</f>
        <v>-</v>
      </c>
      <c r="AT21" s="56" t="str">
        <f ca="1">IF($H21=リスト!$AA$4,"-",
   IF($C21="-","-",
     IF(AT$4&gt;$P21,"-",
       IF(AT$4=1,$E21,OFFSET(AT21,0,-2)-OFFSET(AT21,0,-1)
))))</f>
        <v>-</v>
      </c>
      <c r="AU21" s="57" t="str">
        <f>IF($H21=リスト!$AA$4,"-",
 IF($C21="-","-",
  IF(AT$4&gt;$P21,"-",
   CHOOSE(MATCH($H$3,リスト!$AE$3:$AE$5,0),
    ROUNDUP(
      AT21*IF(AT21*$I21&lt;=$L21,$J21,$I21)*
      IF($P21=1,
         $S21/12,
         IF(AT$4=1,
            $T21/12,
            IF(AT$4=$P21,
               $U21/12,
               1
      ))),0),
    ROUNDDOWN(
      AT21*IF(AT21*$I21&lt;=$L21,$J21,$I21)*
      IF($P21=1,
         $S21/12,
         IF(AT$4=1,
            $T21/12,
            IF(AT$4=$P21,
               $U21/12,
               1
      ))),0),
    ROUND(
      AT21*IF(AT21*$I21&lt;=$L21,$J21,$I21)*
      IF($P21=1,
         $S21/12,
         IF(AT$4=1,
            $T21/12,
            IF(AT$4=$P21,
               $U21/12,
               1
      ))),0)
))))</f>
        <v>-</v>
      </c>
      <c r="AV21" s="56" t="str">
        <f ca="1">IF($H21=リスト!$AA$4,"-",
   IF($C21="-","-",
     IF(AV$4&gt;$P21,"-",
       IF(AV$4=1,$E21,OFFSET(AV21,0,-2)-OFFSET(AV21,0,-1)
))))</f>
        <v>-</v>
      </c>
      <c r="AW21" s="57" t="str">
        <f>IF($H21=リスト!$AA$4,"-",
 IF($C21="-","-",
  IF(AV$4&gt;$P21,"-",
   CHOOSE(MATCH($H$3,リスト!$AE$3:$AE$5,0),
    ROUNDUP(
      AV21*IF(AV21*$I21&lt;=$L21,$J21,$I21)*
      IF($P21=1,
         $S21/12,
         IF(AV$4=1,
            $T21/12,
            IF(AV$4=$P21,
               $U21/12,
               1
      ))),0),
    ROUNDDOWN(
      AV21*IF(AV21*$I21&lt;=$L21,$J21,$I21)*
      IF($P21=1,
         $S21/12,
         IF(AV$4=1,
            $T21/12,
            IF(AV$4=$P21,
               $U21/12,
               1
      ))),0),
    ROUND(
      AV21*IF(AV21*$I21&lt;=$L21,$J21,$I21)*
      IF($P21=1,
         $S21/12,
         IF(AV$4=1,
            $T21/12,
            IF(AV$4=$P21,
               $U21/12,
               1
      ))),0)
))))</f>
        <v>-</v>
      </c>
      <c r="AX21" s="56" t="str">
        <f ca="1">IF($H21=リスト!$AA$4,"-",
   IF($C21="-","-",
     IF(AX$4&gt;$P21,"-",
       IF(AX$4=1,$E21,OFFSET(AX21,0,-2)-OFFSET(AX21,0,-1)
))))</f>
        <v>-</v>
      </c>
      <c r="AY21" s="57" t="str">
        <f>IF($H21=リスト!$AA$4,"-",
 IF($C21="-","-",
  IF(AX$4&gt;$P21,"-",
   CHOOSE(MATCH($H$3,リスト!$AE$3:$AE$5,0),
    ROUNDUP(
      AX21*IF(AX21*$I21&lt;=$L21,$J21,$I21)*
      IF($P21=1,
         $S21/12,
         IF(AX$4=1,
            $T21/12,
            IF(AX$4=$P21,
               $U21/12,
               1
      ))),0),
    ROUNDDOWN(
      AX21*IF(AX21*$I21&lt;=$L21,$J21,$I21)*
      IF($P21=1,
         $S21/12,
         IF(AX$4=1,
            $T21/12,
            IF(AX$4=$P21,
               $U21/12,
               1
      ))),0),
    ROUND(
      AX21*IF(AX21*$I21&lt;=$L21,$J21,$I21)*
      IF($P21=1,
         $S21/12,
         IF(AX$4=1,
            $T21/12,
            IF(AX$4=$P21,
               $U21/12,
               1
      ))),0)
))))</f>
        <v>-</v>
      </c>
      <c r="AZ21" s="56" t="str">
        <f ca="1">IF($H21=リスト!$AA$4,"-",
   IF($C21="-","-",
     IF(AZ$4&gt;$P21,"-",
       IF(AZ$4=1,$E21,OFFSET(AZ21,0,-2)-OFFSET(AZ21,0,-1)
))))</f>
        <v>-</v>
      </c>
      <c r="BA21" s="57" t="str">
        <f>IF($H21=リスト!$AA$4,"-",
 IF($C21="-","-",
  IF(AZ$4&gt;$P21,"-",
   CHOOSE(MATCH($H$3,リスト!$AE$3:$AE$5,0),
    ROUNDUP(
      AZ21*IF(AZ21*$I21&lt;=$L21,$J21,$I21)*
      IF($P21=1,
         $S21/12,
         IF(AZ$4=1,
            $T21/12,
            IF(AZ$4=$P21,
               $U21/12,
               1
      ))),0),
    ROUNDDOWN(
      AZ21*IF(AZ21*$I21&lt;=$L21,$J21,$I21)*
      IF($P21=1,
         $S21/12,
         IF(AZ$4=1,
            $T21/12,
            IF(AZ$4=$P21,
               $U21/12,
               1
      ))),0),
    ROUND(
      AZ21*IF(AZ21*$I21&lt;=$L21,$J21,$I21)*
      IF($P21=1,
         $S21/12,
         IF(AZ$4=1,
            $T21/12,
            IF(AZ$4=$P21,
               $U21/12,
               1
      ))),0)
))))</f>
        <v>-</v>
      </c>
      <c r="BB21" s="56" t="str">
        <f ca="1">IF($H21=リスト!$AA$4,"-",
   IF($C21="-","-",
     IF(BB$4&gt;$P21,"-",
       IF(BB$4=1,$E21,OFFSET(BB21,0,-2)-OFFSET(BB21,0,-1)
))))</f>
        <v>-</v>
      </c>
      <c r="BC21" s="57" t="str">
        <f>IF($H21=リスト!$AA$4,"-",
 IF($C21="-","-",
  IF(BB$4&gt;$P21,"-",
   CHOOSE(MATCH($H$3,リスト!$AE$3:$AE$5,0),
    ROUNDUP(
      BB21*IF(BB21*$I21&lt;=$L21,$J21,$I21)*
      IF($P21=1,
         $S21/12,
         IF(BB$4=1,
            $T21/12,
            IF(BB$4=$P21,
               $U21/12,
               1
      ))),0),
    ROUNDDOWN(
      BB21*IF(BB21*$I21&lt;=$L21,$J21,$I21)*
      IF($P21=1,
         $S21/12,
         IF(BB$4=1,
            $T21/12,
            IF(BB$4=$P21,
               $U21/12,
               1
      ))),0),
    ROUND(
      BB21*IF(BB21*$I21&lt;=$L21,$J21,$I21)*
      IF($P21=1,
         $S21/12,
         IF(BB$4=1,
            $T21/12,
            IF(BB$4=$P21,
               $U21/12,
               1
      ))),0)
))))</f>
        <v>-</v>
      </c>
      <c r="BD21" s="56" t="str">
        <f ca="1">IF($H21=リスト!$AA$4,"-",
   IF($C21="-","-",
     IF(BD$4&gt;$P21,"-",
       IF(BD$4=1,$E21,OFFSET(BD21,0,-2)-OFFSET(BD21,0,-1)
))))</f>
        <v>-</v>
      </c>
      <c r="BE21" s="57" t="str">
        <f>IF($H21=リスト!$AA$4,"-",
 IF($C21="-","-",
  IF(BD$4&gt;$P21,"-",
   CHOOSE(MATCH($H$3,リスト!$AE$3:$AE$5,0),
    ROUNDUP(
      BD21*IF(BD21*$I21&lt;=$L21,$J21,$I21)*
      IF($P21=1,
         $S21/12,
         IF(BD$4=1,
            $T21/12,
            IF(BD$4=$P21,
               $U21/12,
               1
      ))),0),
    ROUNDDOWN(
      BD21*IF(BD21*$I21&lt;=$L21,$J21,$I21)*
      IF($P21=1,
         $S21/12,
         IF(BD$4=1,
            $T21/12,
            IF(BD$4=$P21,
               $U21/12,
               1
      ))),0),
    ROUND(
      BD21*IF(BD21*$I21&lt;=$L21,$J21,$I21)*
      IF($P21=1,
         $S21/12,
         IF(BD$4=1,
            $T21/12,
            IF(BD$4=$P21,
               $U21/12,
               1
      ))),0)
))))</f>
        <v>-</v>
      </c>
      <c r="BF21" s="56" t="str">
        <f ca="1">IF($H21=リスト!$AA$4,"-",
   IF($C21="-","-",
     IF(BF$4&gt;$P21,"-",
       IF(BF$4=1,$E21,OFFSET(BF21,0,-2)-OFFSET(BF21,0,-1)
))))</f>
        <v>-</v>
      </c>
      <c r="BG21" s="57" t="str">
        <f>IF($H21=リスト!$AA$4,"-",
 IF($C21="-","-",
  IF(BF$4&gt;$P21,"-",
   CHOOSE(MATCH($H$3,リスト!$AE$3:$AE$5,0),
    ROUNDUP(
      BF21*IF(BF21*$I21&lt;=$L21,$J21,$I21)*
      IF($P21=1,
         $S21/12,
         IF(BF$4=1,
            $T21/12,
            IF(BF$4=$P21,
               $U21/12,
               1
      ))),0),
    ROUNDDOWN(
      BF21*IF(BF21*$I21&lt;=$L21,$J21,$I21)*
      IF($P21=1,
         $S21/12,
         IF(BF$4=1,
            $T21/12,
            IF(BF$4=$P21,
               $U21/12,
               1
      ))),0),
    ROUND(
      BF21*IF(BF21*$I21&lt;=$L21,$J21,$I21)*
      IF($P21=1,
         $S21/12,
         IF(BF$4=1,
            $T21/12,
            IF(BF$4=$P21,
               $U21/12,
               1
      ))),0)
))))</f>
        <v>-</v>
      </c>
      <c r="BH21" s="56" t="str">
        <f ca="1">IF($H21=リスト!$AA$4,"-",
   IF($C21="-","-",
     IF(BH$4&gt;$P21,"-",
       IF(BH$4=1,$E21,OFFSET(BH21,0,-2)-OFFSET(BH21,0,-1)
))))</f>
        <v>-</v>
      </c>
      <c r="BI21" s="57" t="str">
        <f>IF($H21=リスト!$AA$4,"-",
 IF($C21="-","-",
  IF(BH$4&gt;$P21,"-",
   CHOOSE(MATCH($H$3,リスト!$AE$3:$AE$5,0),
    ROUNDUP(
      BH21*IF(BH21*$I21&lt;=$L21,$J21,$I21)*
      IF($P21=1,
         $S21/12,
         IF(BH$4=1,
            $T21/12,
            IF(BH$4=$P21,
               $U21/12,
               1
      ))),0),
    ROUNDDOWN(
      BH21*IF(BH21*$I21&lt;=$L21,$J21,$I21)*
      IF($P21=1,
         $S21/12,
         IF(BH$4=1,
            $T21/12,
            IF(BH$4=$P21,
               $U21/12,
               1
      ))),0),
    ROUND(
      BH21*IF(BH21*$I21&lt;=$L21,$J21,$I21)*
      IF($P21=1,
         $S21/12,
         IF(BH$4=1,
            $T21/12,
            IF(BH$4=$P21,
               $U21/12,
               1
      ))),0)
))))</f>
        <v>-</v>
      </c>
      <c r="BJ21" s="56" t="str">
        <f ca="1">IF($H21=リスト!$AA$4,"-",
   IF($C21="-","-",
     IF(BJ$4&gt;$P21,"-",
       IF(BJ$4=1,$E21,OFFSET(BJ21,0,-2)-OFFSET(BJ21,0,-1)
))))</f>
        <v>-</v>
      </c>
      <c r="BK21" s="57" t="str">
        <f>IF($H21=リスト!$AA$4,"-",
 IF($C21="-","-",
  IF(BJ$4&gt;$P21,"-",
   CHOOSE(MATCH($H$3,リスト!$AE$3:$AE$5,0),
    ROUNDUP(
      BJ21*IF(BJ21*$I21&lt;=$L21,$J21,$I21)*
      IF($P21=1,
         $S21/12,
         IF(BJ$4=1,
            $T21/12,
            IF(BJ$4=$P21,
               $U21/12,
               1
      ))),0),
    ROUNDDOWN(
      BJ21*IF(BJ21*$I21&lt;=$L21,$J21,$I21)*
      IF($P21=1,
         $S21/12,
         IF(BJ$4=1,
            $T21/12,
            IF(BJ$4=$P21,
               $U21/12,
               1
      ))),0),
    ROUND(
      BJ21*IF(BJ21*$I21&lt;=$L21,$J21,$I21)*
      IF($P21=1,
         $S21/12,
         IF(BJ$4=1,
            $T21/12,
            IF(BJ$4=$P21,
               $U21/12,
               1
      ))),0)
))))</f>
        <v>-</v>
      </c>
      <c r="BL21" s="56" t="str">
        <f ca="1">IF($H21=リスト!$AA$4,"-",
   IF($C21="-","-",
     IF(BL$4&gt;$P21,"-",
       IF(BL$4=1,$E21,OFFSET(BL21,0,-2)-OFFSET(BL21,0,-1)
))))</f>
        <v>-</v>
      </c>
      <c r="BM21" s="57" t="str">
        <f>IF($H21=リスト!$AA$4,"-",
 IF($C21="-","-",
  IF(BL$4&gt;$P21,"-",
   CHOOSE(MATCH($H$3,リスト!$AE$3:$AE$5,0),
    ROUNDUP(
      BL21*IF(BL21*$I21&lt;=$L21,$J21,$I21)*
      IF($P21=1,
         $S21/12,
         IF(BL$4=1,
            $T21/12,
            IF(BL$4=$P21,
               $U21/12,
               1
      ))),0),
    ROUNDDOWN(
      BL21*IF(BL21*$I21&lt;=$L21,$J21,$I21)*
      IF($P21=1,
         $S21/12,
         IF(BL$4=1,
            $T21/12,
            IF(BL$4=$P21,
               $U21/12,
               1
      ))),0),
    ROUND(
      BL21*IF(BL21*$I21&lt;=$L21,$J21,$I21)*
      IF($P21=1,
         $S21/12,
         IF(BL$4=1,
            $T21/12,
            IF(BL$4=$P21,
               $U21/12,
               1
      ))),0)
))))</f>
        <v>-</v>
      </c>
      <c r="BN21" s="56" t="str">
        <f ca="1">IF($H21=リスト!$AA$4,"-",
   IF($C21="-","-",
     IF(BN$4&gt;$P21,"-",
       IF(BN$4=1,$E21,OFFSET(BN21,0,-2)-OFFSET(BN21,0,-1)
))))</f>
        <v>-</v>
      </c>
      <c r="BO21" s="57" t="str">
        <f>IF($H21=リスト!$AA$4,"-",
 IF($C21="-","-",
  IF(BN$4&gt;$P21,"-",
   CHOOSE(MATCH($H$3,リスト!$AE$3:$AE$5,0),
    ROUNDUP(
      BN21*IF(BN21*$I21&lt;=$L21,$J21,$I21)*
      IF($P21=1,
         $S21/12,
         IF(BN$4=1,
            $T21/12,
            IF(BN$4=$P21,
               $U21/12,
               1
      ))),0),
    ROUNDDOWN(
      BN21*IF(BN21*$I21&lt;=$L21,$J21,$I21)*
      IF($P21=1,
         $S21/12,
         IF(BN$4=1,
            $T21/12,
            IF(BN$4=$P21,
               $U21/12,
               1
      ))),0),
    ROUND(
      BN21*IF(BN21*$I21&lt;=$L21,$J21,$I21)*
      IF($P21=1,
         $S21/12,
         IF(BN$4=1,
            $T21/12,
            IF(BN$4=$P21,
               $U21/12,
               1
      ))),0)
))))</f>
        <v>-</v>
      </c>
      <c r="BP21" s="56" t="str">
        <f ca="1">IF($H21=リスト!$AA$4,"-",
   IF($C21="-","-",
     IF(BP$4&gt;$P21,"-",
       IF(BP$4=1,$E21,OFFSET(BP21,0,-2)-OFFSET(BP21,0,-1)
))))</f>
        <v>-</v>
      </c>
      <c r="BQ21" s="57" t="str">
        <f>IF($H21=リスト!$AA$4,"-",
 IF($C21="-","-",
  IF(BP$4&gt;$P21,"-",
   CHOOSE(MATCH($H$3,リスト!$AE$3:$AE$5,0),
    ROUNDUP(
      BP21*IF(BP21*$I21&lt;=$L21,$J21,$I21)*
      IF($P21=1,
         $S21/12,
         IF(BP$4=1,
            $T21/12,
            IF(BP$4=$P21,
               $U21/12,
               1
      ))),0),
    ROUNDDOWN(
      BP21*IF(BP21*$I21&lt;=$L21,$J21,$I21)*
      IF($P21=1,
         $S21/12,
         IF(BP$4=1,
            $T21/12,
            IF(BP$4=$P21,
               $U21/12,
               1
      ))),0),
    ROUND(
      BP21*IF(BP21*$I21&lt;=$L21,$J21,$I21)*
      IF($P21=1,
         $S21/12,
         IF(BP$4=1,
            $T21/12,
            IF(BP$4=$P21,
               $U21/12,
               1
      ))),0)
))))</f>
        <v>-</v>
      </c>
      <c r="BR21" s="56" t="str">
        <f ca="1">IF($H21=リスト!$AA$4,"-",
   IF($C21="-","-",
     IF(BR$4&gt;$P21,"-",
       IF(BR$4=1,$E21,OFFSET(BR21,0,-2)-OFFSET(BR21,0,-1)
))))</f>
        <v>-</v>
      </c>
      <c r="BS21" s="57" t="str">
        <f>IF($H21=リスト!$AA$4,"-",
 IF($C21="-","-",
  IF(BR$4&gt;$P21,"-",
   CHOOSE(MATCH($H$3,リスト!$AE$3:$AE$5,0),
    ROUNDUP(
      BR21*IF(BR21*$I21&lt;=$L21,$J21,$I21)*
      IF($P21=1,
         $S21/12,
         IF(BR$4=1,
            $T21/12,
            IF(BR$4=$P21,
               $U21/12,
               1
      ))),0),
    ROUNDDOWN(
      BR21*IF(BR21*$I21&lt;=$L21,$J21,$I21)*
      IF($P21=1,
         $S21/12,
         IF(BR$4=1,
            $T21/12,
            IF(BR$4=$P21,
               $U21/12,
               1
      ))),0),
    ROUND(
      BR21*IF(BR21*$I21&lt;=$L21,$J21,$I21)*
      IF($P21=1,
         $S21/12,
         IF(BR$4=1,
            $T21/12,
            IF(BR$4=$P21,
               $U21/12,
               1
      ))),0)
))))</f>
        <v>-</v>
      </c>
      <c r="BT21" s="56" t="str">
        <f ca="1">IF($H21=リスト!$AA$4,"-",
   IF($C21="-","-",
     IF(BT$4&gt;$P21,"-",
       IF(BT$4=1,$E21,OFFSET(BT21,0,-2)-OFFSET(BT21,0,-1)
))))</f>
        <v>-</v>
      </c>
      <c r="BU21" s="57" t="str">
        <f>IF($H21=リスト!$AA$4,"-",
 IF($C21="-","-",
  IF(BT$4&gt;$P21,"-",
   CHOOSE(MATCH($H$3,リスト!$AE$3:$AE$5,0),
    ROUNDUP(
      BT21*IF(BT21*$I21&lt;=$L21,$J21,$I21)*
      IF($P21=1,
         $S21/12,
         IF(BT$4=1,
            $T21/12,
            IF(BT$4=$P21,
               $U21/12,
               1
      ))),0),
    ROUNDDOWN(
      BT21*IF(BT21*$I21&lt;=$L21,$J21,$I21)*
      IF($P21=1,
         $S21/12,
         IF(BT$4=1,
            $T21/12,
            IF(BT$4=$P21,
               $U21/12,
               1
      ))),0),
    ROUND(
      BT21*IF(BT21*$I21&lt;=$L21,$J21,$I21)*
      IF($P21=1,
         $S21/12,
         IF(BT$4=1,
            $T21/12,
            IF(BT$4=$P21,
               $U21/12,
               1
      ))),0)
))))</f>
        <v>-</v>
      </c>
      <c r="BV21" s="56" t="str">
        <f ca="1">IF($H21=リスト!$AA$4,"-",
   IF($C21="-","-",
     IF(BV$4&gt;$P21,"-",
       IF(BV$4=1,$E21,OFFSET(BV21,0,-2)-OFFSET(BV21,0,-1)
))))</f>
        <v>-</v>
      </c>
      <c r="BW21" s="57" t="str">
        <f>IF($H21=リスト!$AA$4,"-",
 IF($C21="-","-",
  IF(BV$4&gt;$P21,"-",
   CHOOSE(MATCH($H$3,リスト!$AE$3:$AE$5,0),
    ROUNDUP(
      BV21*IF(BV21*$I21&lt;=$L21,$J21,$I21)*
      IF($P21=1,
         $S21/12,
         IF(BV$4=1,
            $T21/12,
            IF(BV$4=$P21,
               $U21/12,
               1
      ))),0),
    ROUNDDOWN(
      BV21*IF(BV21*$I21&lt;=$L21,$J21,$I21)*
      IF($P21=1,
         $S21/12,
         IF(BV$4=1,
            $T21/12,
            IF(BV$4=$P21,
               $U21/12,
               1
      ))),0),
    ROUND(
      BV21*IF(BV21*$I21&lt;=$L21,$J21,$I21)*
      IF($P21=1,
         $S21/12,
         IF(BV$4=1,
            $T21/12,
            IF(BV$4=$P21,
               $U21/12,
               1
      ))),0)
))))</f>
        <v>-</v>
      </c>
      <c r="BX21" s="56" t="str">
        <f ca="1">IF($H21=リスト!$AA$4,"-",
   IF($C21="-","-",
     IF(BX$4&gt;$P21,"-",
       IF(BX$4=1,$E21,OFFSET(BX21,0,-2)-OFFSET(BX21,0,-1)
))))</f>
        <v>-</v>
      </c>
      <c r="BY21" s="57" t="str">
        <f>IF($H21=リスト!$AA$4,"-",
 IF($C21="-","-",
  IF(BX$4&gt;$P21,"-",
   CHOOSE(MATCH($H$3,リスト!$AE$3:$AE$5,0),
    ROUNDUP(
      BX21*IF(BX21*$I21&lt;=$L21,$J21,$I21)*
      IF($P21=1,
         $S21/12,
         IF(BX$4=1,
            $T21/12,
            IF(BX$4=$P21,
               $U21/12,
               1
      ))),0),
    ROUNDDOWN(
      BX21*IF(BX21*$I21&lt;=$L21,$J21,$I21)*
      IF($P21=1,
         $S21/12,
         IF(BX$4=1,
            $T21/12,
            IF(BX$4=$P21,
               $U21/12,
               1
      ))),0),
    ROUND(
      BX21*IF(BX21*$I21&lt;=$L21,$J21,$I21)*
      IF($P21=1,
         $S21/12,
         IF(BX$4=1,
            $T21/12,
            IF(BX$4=$P21,
               $U21/12,
               1
      ))),0)
))))</f>
        <v>-</v>
      </c>
      <c r="BZ21" s="56" t="str">
        <f ca="1">IF($H21=リスト!$AA$4,"-",
   IF($C21="-","-",
     IF(BZ$4&gt;$P21,"-",
       IF(BZ$4=1,$E21,OFFSET(BZ21,0,-2)-OFFSET(BZ21,0,-1)
))))</f>
        <v>-</v>
      </c>
      <c r="CA21" s="57" t="str">
        <f>IF($H21=リスト!$AA$4,"-",
 IF($C21="-","-",
  IF(BZ$4&gt;$P21,"-",
   CHOOSE(MATCH($H$3,リスト!$AE$3:$AE$5,0),
    ROUNDUP(
      BZ21*IF(BZ21*$I21&lt;=$L21,$J21,$I21)*
      IF($P21=1,
         $S21/12,
         IF(BZ$4=1,
            $T21/12,
            IF(BZ$4=$P21,
               $U21/12,
               1
      ))),0),
    ROUNDDOWN(
      BZ21*IF(BZ21*$I21&lt;=$L21,$J21,$I21)*
      IF($P21=1,
         $S21/12,
         IF(BZ$4=1,
            $T21/12,
            IF(BZ$4=$P21,
               $U21/12,
               1
      ))),0),
    ROUND(
      BZ21*IF(BZ21*$I21&lt;=$L21,$J21,$I21)*
      IF($P21=1,
         $S21/12,
         IF(BZ$4=1,
            $T21/12,
            IF(BZ$4=$P21,
               $U21/12,
               1
      ))),0)
))))</f>
        <v>-</v>
      </c>
      <c r="CB21" s="56" t="str">
        <f ca="1">IF($H21=リスト!$AA$4,"-",
   IF($C21="-","-",
     IF(CB$4&gt;$P21,"-",
       IF(CB$4=1,$E21,OFFSET(CB21,0,-2)-OFFSET(CB21,0,-1)
))))</f>
        <v>-</v>
      </c>
      <c r="CC21" s="57" t="str">
        <f>IF($H21=リスト!$AA$4,"-",
 IF($C21="-","-",
  IF(CB$4&gt;$P21,"-",
   CHOOSE(MATCH($H$3,リスト!$AE$3:$AE$5,0),
    ROUNDUP(
      CB21*IF(CB21*$I21&lt;=$L21,$J21,$I21)*
      IF($P21=1,
         $S21/12,
         IF(CB$4=1,
            $T21/12,
            IF(CB$4=$P21,
               $U21/12,
               1
      ))),0),
    ROUNDDOWN(
      CB21*IF(CB21*$I21&lt;=$L21,$J21,$I21)*
      IF($P21=1,
         $S21/12,
         IF(CB$4=1,
            $T21/12,
            IF(CB$4=$P21,
               $U21/12,
               1
      ))),0),
    ROUND(
      CB21*IF(CB21*$I21&lt;=$L21,$J21,$I21)*
      IF($P21=1,
         $S21/12,
         IF(CB$4=1,
            $T21/12,
            IF(CB$4=$P21,
               $U21/12,
               1
      ))),0)
))))</f>
        <v>-</v>
      </c>
      <c r="CD21" s="56" t="str">
        <f ca="1">IF($H21=リスト!$AA$4,"-",
   IF($C21="-","-",
     IF(CD$4&gt;$P21,"-",
       IF(CD$4=1,$E21,OFFSET(CD21,0,-2)-OFFSET(CD21,0,-1)
))))</f>
        <v>-</v>
      </c>
      <c r="CE21" s="57" t="str">
        <f>IF($H21=リスト!$AA$4,"-",
 IF($C21="-","-",
  IF(CD$4&gt;$P21,"-",
   CHOOSE(MATCH($H$3,リスト!$AE$3:$AE$5,0),
    ROUNDUP(
      CD21*IF(CD21*$I21&lt;=$L21,$J21,$I21)*
      IF($P21=1,
         $S21/12,
         IF(CD$4=1,
            $T21/12,
            IF(CD$4=$P21,
               $U21/12,
               1
      ))),0),
    ROUNDDOWN(
      CD21*IF(CD21*$I21&lt;=$L21,$J21,$I21)*
      IF($P21=1,
         $S21/12,
         IF(CD$4=1,
            $T21/12,
            IF(CD$4=$P21,
               $U21/12,
               1
      ))),0),
    ROUND(
      CD21*IF(CD21*$I21&lt;=$L21,$J21,$I21)*
      IF($P21=1,
         $S21/12,
         IF(CD$4=1,
            $T21/12,
            IF(CD$4=$P21,
               $U21/12,
               1
      ))),0)
))))</f>
        <v>-</v>
      </c>
      <c r="CF21" s="56" t="str">
        <f ca="1">IF($H21=リスト!$AA$4,"-",
   IF($C21="-","-",
     IF(CF$4&gt;$P21,"-",
       IF(CF$4=1,$E21,OFFSET(CF21,0,-2)-OFFSET(CF21,0,-1)
))))</f>
        <v>-</v>
      </c>
      <c r="CG21" s="57" t="str">
        <f>IF($H21=リスト!$AA$4,"-",
 IF($C21="-","-",
  IF(CF$4&gt;$P21,"-",
   CHOOSE(MATCH($H$3,リスト!$AE$3:$AE$5,0),
    ROUNDUP(
      CF21*IF(CF21*$I21&lt;=$L21,$J21,$I21)*
      IF($P21=1,
         $S21/12,
         IF(CF$4=1,
            $T21/12,
            IF(CF$4=$P21,
               $U21/12,
               1
      ))),0),
    ROUNDDOWN(
      CF21*IF(CF21*$I21&lt;=$L21,$J21,$I21)*
      IF($P21=1,
         $S21/12,
         IF(CF$4=1,
            $T21/12,
            IF(CF$4=$P21,
               $U21/12,
               1
      ))),0),
    ROUND(
      CF21*IF(CF21*$I21&lt;=$L21,$J21,$I21)*
      IF($P21=1,
         $S21/12,
         IF(CF$4=1,
            $T21/12,
            IF(CF$4=$P21,
               $U21/12,
               1
      ))),0)
))))</f>
        <v>-</v>
      </c>
      <c r="CH21" s="56" t="str">
        <f ca="1">IF($H21=リスト!$AA$4,"-",
   IF($C21="-","-",
     IF(CH$4&gt;$P21,"-",
       IF(CH$4=1,$E21,OFFSET(CH21,0,-2)-OFFSET(CH21,0,-1)
))))</f>
        <v>-</v>
      </c>
      <c r="CI21" s="57" t="str">
        <f>IF($H21=リスト!$AA$4,"-",
 IF($C21="-","-",
  IF(CH$4&gt;$P21,"-",
   CHOOSE(MATCH($H$3,リスト!$AE$3:$AE$5,0),
    ROUNDUP(
      CH21*IF(CH21*$I21&lt;=$L21,$J21,$I21)*
      IF($P21=1,
         $S21/12,
         IF(CH$4=1,
            $T21/12,
            IF(CH$4=$P21,
               $U21/12,
               1
      ))),0),
    ROUNDDOWN(
      CH21*IF(CH21*$I21&lt;=$L21,$J21,$I21)*
      IF($P21=1,
         $S21/12,
         IF(CH$4=1,
            $T21/12,
            IF(CH$4=$P21,
               $U21/12,
               1
      ))),0),
    ROUND(
      CH21*IF(CH21*$I21&lt;=$L21,$J21,$I21)*
      IF($P21=1,
         $S21/12,
         IF(CH$4=1,
            $T21/12,
            IF(CH$4=$P21,
               $U21/12,
               1
      ))),0)
))))</f>
        <v>-</v>
      </c>
      <c r="CJ21" s="56" t="str">
        <f ca="1">IF($H21=リスト!$AA$4,"-",
   IF($C21="-","-",
     IF(CJ$4&gt;$P21,"-",
       IF(CJ$4=1,$E21,OFFSET(CJ21,0,-2)-OFFSET(CJ21,0,-1)
))))</f>
        <v>-</v>
      </c>
      <c r="CK21" s="57" t="str">
        <f>IF($H21=リスト!$AA$4,"-",
 IF($C21="-","-",
  IF(CJ$4&gt;$P21,"-",
   CHOOSE(MATCH($H$3,リスト!$AE$3:$AE$5,0),
    ROUNDUP(
      CJ21*IF(CJ21*$I21&lt;=$L21,$J21,$I21)*
      IF($P21=1,
         $S21/12,
         IF(CJ$4=1,
            $T21/12,
            IF(CJ$4=$P21,
               $U21/12,
               1
      ))),0),
    ROUNDDOWN(
      CJ21*IF(CJ21*$I21&lt;=$L21,$J21,$I21)*
      IF($P21=1,
         $S21/12,
         IF(CJ$4=1,
            $T21/12,
            IF(CJ$4=$P21,
               $U21/12,
               1
      ))),0),
    ROUND(
      CJ21*IF(CJ21*$I21&lt;=$L21,$J21,$I21)*
      IF($P21=1,
         $S21/12,
         IF(CJ$4=1,
            $T21/12,
            IF(CJ$4=$P21,
               $U21/12,
               1
      ))),0)
))))</f>
        <v>-</v>
      </c>
      <c r="CL21" s="56" t="str">
        <f ca="1">IF($H21=リスト!$AA$4,"-",
   IF($C21="-","-",
     IF(CL$4&gt;$P21,"-",
       IF(CL$4=1,$E21,OFFSET(CL21,0,-2)-OFFSET(CL21,0,-1)
))))</f>
        <v>-</v>
      </c>
      <c r="CM21" s="57" t="str">
        <f>IF($H21=リスト!$AA$4,"-",
 IF($C21="-","-",
  IF(CL$4&gt;$P21,"-",
   CHOOSE(MATCH($H$3,リスト!$AE$3:$AE$5,0),
    ROUNDUP(
      CL21*IF(CL21*$I21&lt;=$L21,$J21,$I21)*
      IF($P21=1,
         $S21/12,
         IF(CL$4=1,
            $T21/12,
            IF(CL$4=$P21,
               $U21/12,
               1
      ))),0),
    ROUNDDOWN(
      CL21*IF(CL21*$I21&lt;=$L21,$J21,$I21)*
      IF($P21=1,
         $S21/12,
         IF(CL$4=1,
            $T21/12,
            IF(CL$4=$P21,
               $U21/12,
               1
      ))),0),
    ROUND(
      CL21*IF(CL21*$I21&lt;=$L21,$J21,$I21)*
      IF($P21=1,
         $S21/12,
         IF(CL$4=1,
            $T21/12,
            IF(CL$4=$P21,
               $U21/12,
               1
      ))),0)
))))</f>
        <v>-</v>
      </c>
      <c r="CN21" s="56" t="str">
        <f ca="1">IF($H21=リスト!$AA$4,"-",
   IF($C21="-","-",
     IF(CN$4&gt;$P21,"-",
       IF(CN$4=1,$E21,OFFSET(CN21,0,-2)-OFFSET(CN21,0,-1)
))))</f>
        <v>-</v>
      </c>
      <c r="CO21" s="57" t="str">
        <f>IF($H21=リスト!$AA$4,"-",
 IF($C21="-","-",
  IF(CN$4&gt;$P21,"-",
   CHOOSE(MATCH($H$3,リスト!$AE$3:$AE$5,0),
    ROUNDUP(
      CN21*IF(CN21*$I21&lt;=$L21,$J21,$I21)*
      IF($P21=1,
         $S21/12,
         IF(CN$4=1,
            $T21/12,
            IF(CN$4=$P21,
               $U21/12,
               1
      ))),0),
    ROUNDDOWN(
      CN21*IF(CN21*$I21&lt;=$L21,$J21,$I21)*
      IF($P21=1,
         $S21/12,
         IF(CN$4=1,
            $T21/12,
            IF(CN$4=$P21,
               $U21/12,
               1
      ))),0),
    ROUND(
      CN21*IF(CN21*$I21&lt;=$L21,$J21,$I21)*
      IF($P21=1,
         $S21/12,
         IF(CN$4=1,
            $T21/12,
            IF(CN$4=$P21,
               $U21/12,
               1
      ))),0)
))))</f>
        <v>-</v>
      </c>
      <c r="CP21" s="56" t="str">
        <f ca="1">IF($H21=リスト!$AA$4,"-",
   IF($C21="-","-",
     IF(CP$4&gt;$P21,"-",
       IF(CP$4=1,$E21,OFFSET(CP21,0,-2)-OFFSET(CP21,0,-1)
))))</f>
        <v>-</v>
      </c>
      <c r="CQ21" s="57" t="str">
        <f>IF($H21=リスト!$AA$4,"-",
 IF($C21="-","-",
  IF(CP$4&gt;$P21,"-",
   CHOOSE(MATCH($H$3,リスト!$AE$3:$AE$5,0),
    ROUNDUP(
      CP21*IF(CP21*$I21&lt;=$L21,$J21,$I21)*
      IF($P21=1,
         $S21/12,
         IF(CP$4=1,
            $T21/12,
            IF(CP$4=$P21,
               $U21/12,
               1
      ))),0),
    ROUNDDOWN(
      CP21*IF(CP21*$I21&lt;=$L21,$J21,$I21)*
      IF($P21=1,
         $S21/12,
         IF(CP$4=1,
            $T21/12,
            IF(CP$4=$P21,
               $U21/12,
               1
      ))),0),
    ROUND(
      CP21*IF(CP21*$I21&lt;=$L21,$J21,$I21)*
      IF($P21=1,
         $S21/12,
         IF(CP$4=1,
            $T21/12,
            IF(CP$4=$P21,
               $U21/12,
               1
      ))),0)
))))</f>
        <v>-</v>
      </c>
      <c r="CR21" s="56" t="str">
        <f ca="1">IF($H21=リスト!$AA$4,"-",
   IF($C21="-","-",
     IF(CR$4&gt;$P21,"-",
       IF(CR$4=1,$E21,OFFSET(CR21,0,-2)-OFFSET(CR21,0,-1)
))))</f>
        <v>-</v>
      </c>
      <c r="CS21" s="57" t="str">
        <f>IF($H21=リスト!$AA$4,"-",
 IF($C21="-","-",
  IF(CR$4&gt;$P21,"-",
   CHOOSE(MATCH($H$3,リスト!$AE$3:$AE$5,0),
    ROUNDUP(
      CR21*IF(CR21*$I21&lt;=$L21,$J21,$I21)*
      IF($P21=1,
         $S21/12,
         IF(CR$4=1,
            $T21/12,
            IF(CR$4=$P21,
               $U21/12,
               1
      ))),0),
    ROUNDDOWN(
      CR21*IF(CR21*$I21&lt;=$L21,$J21,$I21)*
      IF($P21=1,
         $S21/12,
         IF(CR$4=1,
            $T21/12,
            IF(CR$4=$P21,
               $U21/12,
               1
      ))),0),
    ROUND(
      CR21*IF(CR21*$I21&lt;=$L21,$J21,$I21)*
      IF($P21=1,
         $S21/12,
         IF(CR$4=1,
            $T21/12,
            IF(CR$4=$P21,
               $U21/12,
               1
      ))),0)
))))</f>
        <v>-</v>
      </c>
      <c r="CT21" s="56" t="str">
        <f ca="1">IF($H21=リスト!$AA$4,"-",
   IF($C21="-","-",
     IF(CT$4&gt;$P21,"-",
       IF(CT$4=1,$E21,OFFSET(CT21,0,-2)-OFFSET(CT21,0,-1)
))))</f>
        <v>-</v>
      </c>
      <c r="CU21" s="57" t="str">
        <f>IF($H21=リスト!$AA$4,"-",
 IF($C21="-","-",
  IF(CT$4&gt;$P21,"-",
   CHOOSE(MATCH($H$3,リスト!$AE$3:$AE$5,0),
    ROUNDUP(
      CT21*IF(CT21*$I21&lt;=$L21,$J21,$I21)*
      IF($P21=1,
         $S21/12,
         IF(CT$4=1,
            $T21/12,
            IF(CT$4=$P21,
               $U21/12,
               1
      ))),0),
    ROUNDDOWN(
      CT21*IF(CT21*$I21&lt;=$L21,$J21,$I21)*
      IF($P21=1,
         $S21/12,
         IF(CT$4=1,
            $T21/12,
            IF(CT$4=$P21,
               $U21/12,
               1
      ))),0),
    ROUND(
      CT21*IF(CT21*$I21&lt;=$L21,$J21,$I21)*
      IF($P21=1,
         $S21/12,
         IF(CT$4=1,
            $T21/12,
            IF(CT$4=$P21,
               $U21/12,
               1
      ))),0)
))))</f>
        <v>-</v>
      </c>
      <c r="CV21" s="56" t="str">
        <f ca="1">IF($H21=リスト!$AA$4,"-",
   IF($C21="-","-",
     IF(CV$4&gt;$P21,"-",
       IF(CV$4=1,$E21,OFFSET(CV21,0,-2)-OFFSET(CV21,0,-1)
))))</f>
        <v>-</v>
      </c>
      <c r="CW21" s="57" t="str">
        <f>IF($H21=リスト!$AA$4,"-",
 IF($C21="-","-",
  IF(CV$4&gt;$P21,"-",
   CHOOSE(MATCH($H$3,リスト!$AE$3:$AE$5,0),
    ROUNDUP(
      CV21*IF(CV21*$I21&lt;=$L21,$J21,$I21)*
      IF($P21=1,
         $S21/12,
         IF(CV$4=1,
            $T21/12,
            IF(CV$4=$P21,
               $U21/12,
               1
      ))),0),
    ROUNDDOWN(
      CV21*IF(CV21*$I21&lt;=$L21,$J21,$I21)*
      IF($P21=1,
         $S21/12,
         IF(CV$4=1,
            $T21/12,
            IF(CV$4=$P21,
               $U21/12,
               1
      ))),0),
    ROUND(
      CV21*IF(CV21*$I21&lt;=$L21,$J21,$I21)*
      IF($P21=1,
         $S21/12,
         IF(CV$4=1,
            $T21/12,
            IF(CV$4=$P21,
               $U21/12,
               1
      ))),0)
))))</f>
        <v>-</v>
      </c>
      <c r="CX21" s="56" t="str">
        <f ca="1">IF($H21=リスト!$AA$4,"-",
   IF($C21="-","-",
     IF(CX$4&gt;$P21,"-",
       IF(CX$4=1,$E21,OFFSET(CX21,0,-2)-OFFSET(CX21,0,-1)
))))</f>
        <v>-</v>
      </c>
      <c r="CY21" s="57" t="str">
        <f>IF($H21=リスト!$AA$4,"-",
 IF($C21="-","-",
  IF(CX$4&gt;$P21,"-",
   CHOOSE(MATCH($H$3,リスト!$AE$3:$AE$5,0),
    ROUNDUP(
      CX21*IF(CX21*$I21&lt;=$L21,$J21,$I21)*
      IF($P21=1,
         $S21/12,
         IF(CX$4=1,
            $T21/12,
            IF(CX$4=$P21,
               $U21/12,
               1
      ))),0),
    ROUNDDOWN(
      CX21*IF(CX21*$I21&lt;=$L21,$J21,$I21)*
      IF($P21=1,
         $S21/12,
         IF(CX$4=1,
            $T21/12,
            IF(CX$4=$P21,
               $U21/12,
               1
      ))),0),
    ROUND(
      CX21*IF(CX21*$I21&lt;=$L21,$J21,$I21)*
      IF($P21=1,
         $S21/12,
         IF(CX$4=1,
            $T21/12,
            IF(CX$4=$P21,
               $U21/12,
               1
      ))),0)
))))</f>
        <v>-</v>
      </c>
      <c r="CZ21" s="56" t="str">
        <f ca="1">IF($H21=リスト!$AA$4,"-",
   IF($C21="-","-",
     IF(CZ$4&gt;$P21,"-",
       IF(CZ$4=1,$E21,OFFSET(CZ21,0,-2)-OFFSET(CZ21,0,-1)
))))</f>
        <v>-</v>
      </c>
      <c r="DA21" s="57" t="str">
        <f>IF($H21=リスト!$AA$4,"-",
 IF($C21="-","-",
  IF(CZ$4&gt;$P21,"-",
   CHOOSE(MATCH($H$3,リスト!$AE$3:$AE$5,0),
    ROUNDUP(
      CZ21*IF(CZ21*$I21&lt;=$L21,$J21,$I21)*
      IF($P21=1,
         $S21/12,
         IF(CZ$4=1,
            $T21/12,
            IF(CZ$4=$P21,
               $U21/12,
               1
      ))),0),
    ROUNDDOWN(
      CZ21*IF(CZ21*$I21&lt;=$L21,$J21,$I21)*
      IF($P21=1,
         $S21/12,
         IF(CZ$4=1,
            $T21/12,
            IF(CZ$4=$P21,
               $U21/12,
               1
      ))),0),
    ROUND(
      CZ21*IF(CZ21*$I21&lt;=$L21,$J21,$I21)*
      IF($P21=1,
         $S21/12,
         IF(CZ$4=1,
            $T21/12,
            IF(CZ$4=$P21,
               $U21/12,
               1
      ))),0)
))))</f>
        <v>-</v>
      </c>
      <c r="DB21" s="56" t="str">
        <f ca="1">IF($H21=リスト!$AA$4,"-",
   IF($C21="-","-",
     IF(DB$4&gt;$P21,"-",
       IF(DB$4=1,$E21,OFFSET(DB21,0,-2)-OFFSET(DB21,0,-1)
))))</f>
        <v>-</v>
      </c>
      <c r="DC21" s="57" t="str">
        <f>IF($H21=リスト!$AA$4,"-",
 IF($C21="-","-",
  IF(DB$4&gt;$P21,"-",
   CHOOSE(MATCH($H$3,リスト!$AE$3:$AE$5,0),
    ROUNDUP(
      DB21*IF(DB21*$I21&lt;=$L21,$J21,$I21)*
      IF($P21=1,
         $S21/12,
         IF(DB$4=1,
            $T21/12,
            IF(DB$4=$P21,
               $U21/12,
               1
      ))),0),
    ROUNDDOWN(
      DB21*IF(DB21*$I21&lt;=$L21,$J21,$I21)*
      IF($P21=1,
         $S21/12,
         IF(DB$4=1,
            $T21/12,
            IF(DB$4=$P21,
               $U21/12,
               1
      ))),0),
    ROUND(
      DB21*IF(DB21*$I21&lt;=$L21,$J21,$I21)*
      IF($P21=1,
         $S21/12,
         IF(DB$4=1,
            $T21/12,
            IF(DB$4=$P21,
               $U21/12,
               1
      ))),0)
))))</f>
        <v>-</v>
      </c>
      <c r="DD21" s="56" t="str">
        <f ca="1">IF($H21=リスト!$AA$4,"-",
   IF($C21="-","-",
     IF(DD$4&gt;$P21,"-",
       IF(DD$4=1,$E21,OFFSET(DD21,0,-2)-OFFSET(DD21,0,-1)
))))</f>
        <v>-</v>
      </c>
      <c r="DE21" s="57" t="str">
        <f>IF($H21=リスト!$AA$4,"-",
 IF($C21="-","-",
  IF(DD$4&gt;$P21,"-",
   CHOOSE(MATCH($H$3,リスト!$AE$3:$AE$5,0),
    ROUNDUP(
      DD21*IF(DD21*$I21&lt;=$L21,$J21,$I21)*
      IF($P21=1,
         $S21/12,
         IF(DD$4=1,
            $T21/12,
            IF(DD$4=$P21,
               $U21/12,
               1
      ))),0),
    ROUNDDOWN(
      DD21*IF(DD21*$I21&lt;=$L21,$J21,$I21)*
      IF($P21=1,
         $S21/12,
         IF(DD$4=1,
            $T21/12,
            IF(DD$4=$P21,
               $U21/12,
               1
      ))),0),
    ROUND(
      DD21*IF(DD21*$I21&lt;=$L21,$J21,$I21)*
      IF($P21=1,
         $S21/12,
         IF(DD$4=1,
            $T21/12,
            IF(DD$4=$P21,
               $U21/12,
               1
      ))),0)
))))</f>
        <v>-</v>
      </c>
      <c r="DF21" s="56" t="str">
        <f ca="1">IF($H21=リスト!$AA$4,"-",
   IF($C21="-","-",
     IF(DF$4&gt;$P21,"-",
       IF(DF$4=1,$E21,OFFSET(DF21,0,-2)-OFFSET(DF21,0,-1)
))))</f>
        <v>-</v>
      </c>
      <c r="DG21" s="57" t="str">
        <f>IF($H21=リスト!$AA$4,"-",
 IF($C21="-","-",
  IF(DF$4&gt;$P21,"-",
   CHOOSE(MATCH($H$3,リスト!$AE$3:$AE$5,0),
    ROUNDUP(
      DF21*IF(DF21*$I21&lt;=$L21,$J21,$I21)*
      IF($P21=1,
         $S21/12,
         IF(DF$4=1,
            $T21/12,
            IF(DF$4=$P21,
               $U21/12,
               1
      ))),0),
    ROUNDDOWN(
      DF21*IF(DF21*$I21&lt;=$L21,$J21,$I21)*
      IF($P21=1,
         $S21/12,
         IF(DF$4=1,
            $T21/12,
            IF(DF$4=$P21,
               $U21/12,
               1
      ))),0),
    ROUND(
      DF21*IF(DF21*$I21&lt;=$L21,$J21,$I21)*
      IF($P21=1,
         $S21/12,
         IF(DF$4=1,
            $T21/12,
            IF(DF$4=$P21,
               $U21/12,
               1
      ))),0)
))))</f>
        <v>-</v>
      </c>
      <c r="DH21" s="56" t="str">
        <f ca="1">IF($H21=リスト!$AA$4,"-",
   IF($C21="-","-",
     IF(DH$4&gt;$P21,"-",
       IF(DH$4=1,$E21,OFFSET(DH21,0,-2)-OFFSET(DH21,0,-1)
))))</f>
        <v>-</v>
      </c>
      <c r="DI21" s="57" t="str">
        <f>IF($H21=リスト!$AA$4,"-",
 IF($C21="-","-",
  IF(DH$4&gt;$P21,"-",
   CHOOSE(MATCH($H$3,リスト!$AE$3:$AE$5,0),
    ROUNDUP(
      DH21*IF(DH21*$I21&lt;=$L21,$J21,$I21)*
      IF($P21=1,
         $S21/12,
         IF(DH$4=1,
            $T21/12,
            IF(DH$4=$P21,
               $U21/12,
               1
      ))),0),
    ROUNDDOWN(
      DH21*IF(DH21*$I21&lt;=$L21,$J21,$I21)*
      IF($P21=1,
         $S21/12,
         IF(DH$4=1,
            $T21/12,
            IF(DH$4=$P21,
               $U21/12,
               1
      ))),0),
    ROUND(
      DH21*IF(DH21*$I21&lt;=$L21,$J21,$I21)*
      IF($P21=1,
         $S21/12,
         IF(DH$4=1,
            $T21/12,
            IF(DH$4=$P21,
               $U21/12,
               1
      ))),0)
))))</f>
        <v>-</v>
      </c>
      <c r="DJ21" s="56" t="str">
        <f ca="1">IF($H21=リスト!$AA$4,"-",
   IF($C21="-","-",
     IF(DJ$4&gt;$P21,"-",
       IF(DJ$4=1,$E21,OFFSET(DJ21,0,-2)-OFFSET(DJ21,0,-1)
))))</f>
        <v>-</v>
      </c>
      <c r="DK21" s="57" t="str">
        <f>IF($H21=リスト!$AA$4,"-",
 IF($C21="-","-",
  IF(DJ$4&gt;$P21,"-",
   CHOOSE(MATCH($H$3,リスト!$AE$3:$AE$5,0),
    ROUNDUP(
      DJ21*IF(DJ21*$I21&lt;=$L21,$J21,$I21)*
      IF($P21=1,
         $S21/12,
         IF(DJ$4=1,
            $T21/12,
            IF(DJ$4=$P21,
               $U21/12,
               1
      ))),0),
    ROUNDDOWN(
      DJ21*IF(DJ21*$I21&lt;=$L21,$J21,$I21)*
      IF($P21=1,
         $S21/12,
         IF(DJ$4=1,
            $T21/12,
            IF(DJ$4=$P21,
               $U21/12,
               1
      ))),0),
    ROUND(
      DJ21*IF(DJ21*$I21&lt;=$L21,$J21,$I21)*
      IF($P21=1,
         $S21/12,
         IF(DJ$4=1,
            $T21/12,
            IF(DJ$4=$P21,
               $U21/12,
               1
      ))),0)
))))</f>
        <v>-</v>
      </c>
      <c r="DL21" s="56" t="str">
        <f ca="1">IF($H21=リスト!$AA$4,"-",
   IF($C21="-","-",
     IF(DL$4&gt;$P21,"-",
       IF(DL$4=1,$E21,OFFSET(DL21,0,-2)-OFFSET(DL21,0,-1)
))))</f>
        <v>-</v>
      </c>
      <c r="DM21" s="57" t="str">
        <f>IF($H21=リスト!$AA$4,"-",
 IF($C21="-","-",
  IF(DL$4&gt;$P21,"-",
   CHOOSE(MATCH($H$3,リスト!$AE$3:$AE$5,0),
    ROUNDUP(
      DL21*IF(DL21*$I21&lt;=$L21,$J21,$I21)*
      IF($P21=1,
         $S21/12,
         IF(DL$4=1,
            $T21/12,
            IF(DL$4=$P21,
               $U21/12,
               1
      ))),0),
    ROUNDDOWN(
      DL21*IF(DL21*$I21&lt;=$L21,$J21,$I21)*
      IF($P21=1,
         $S21/12,
         IF(DL$4=1,
            $T21/12,
            IF(DL$4=$P21,
               $U21/12,
               1
      ))),0),
    ROUND(
      DL21*IF(DL21*$I21&lt;=$L21,$J21,$I21)*
      IF($P21=1,
         $S21/12,
         IF(DL$4=1,
            $T21/12,
            IF(DL$4=$P21,
               $U21/12,
               1
      ))),0)
))))</f>
        <v>-</v>
      </c>
      <c r="DN21" s="56" t="str">
        <f ca="1">IF($H21=リスト!$AA$4,"-",
   IF($C21="-","-",
     IF(DN$4&gt;$P21,"-",
       IF(DN$4=1,$E21,OFFSET(DN21,0,-2)-OFFSET(DN21,0,-1)
))))</f>
        <v>-</v>
      </c>
      <c r="DO21" s="57" t="str">
        <f>IF($H21=リスト!$AA$4,"-",
 IF($C21="-","-",
  IF(DN$4&gt;$P21,"-",
   CHOOSE(MATCH($H$3,リスト!$AE$3:$AE$5,0),
    ROUNDUP(
      DN21*IF(DN21*$I21&lt;=$L21,$J21,$I21)*
      IF($P21=1,
         $S21/12,
         IF(DN$4=1,
            $T21/12,
            IF(DN$4=$P21,
               $U21/12,
               1
      ))),0),
    ROUNDDOWN(
      DN21*IF(DN21*$I21&lt;=$L21,$J21,$I21)*
      IF($P21=1,
         $S21/12,
         IF(DN$4=1,
            $T21/12,
            IF(DN$4=$P21,
               $U21/12,
               1
      ))),0),
    ROUND(
      DN21*IF(DN21*$I21&lt;=$L21,$J21,$I21)*
      IF($P21=1,
         $S21/12,
         IF(DN$4=1,
            $T21/12,
            IF(DN$4=$P21,
               $U21/12,
               1
      ))),0)
))))</f>
        <v>-</v>
      </c>
      <c r="DP21" s="56" t="str">
        <f ca="1">IF($H21=リスト!$AA$4,"-",
   IF($C21="-","-",
     IF(DP$4&gt;$P21,"-",
       IF(DP$4=1,$E21,OFFSET(DP21,0,-2)-OFFSET(DP21,0,-1)
))))</f>
        <v>-</v>
      </c>
      <c r="DQ21" s="57" t="str">
        <f>IF($H21=リスト!$AA$4,"-",
 IF($C21="-","-",
  IF(DP$4&gt;$P21,"-",
   CHOOSE(MATCH($H$3,リスト!$AE$3:$AE$5,0),
    ROUNDUP(
      DP21*IF(DP21*$I21&lt;=$L21,$J21,$I21)*
      IF($P21=1,
         $S21/12,
         IF(DP$4=1,
            $T21/12,
            IF(DP$4=$P21,
               $U21/12,
               1
      ))),0),
    ROUNDDOWN(
      DP21*IF(DP21*$I21&lt;=$L21,$J21,$I21)*
      IF($P21=1,
         $S21/12,
         IF(DP$4=1,
            $T21/12,
            IF(DP$4=$P21,
               $U21/12,
               1
      ))),0),
    ROUND(
      DP21*IF(DP21*$I21&lt;=$L21,$J21,$I21)*
      IF($P21=1,
         $S21/12,
         IF(DP$4=1,
            $T21/12,
            IF(DP$4=$P21,
               $U21/12,
               1
      ))),0)
))))</f>
        <v>-</v>
      </c>
      <c r="DR21" s="56" t="str">
        <f ca="1">IF($H21=リスト!$AA$4,"-",
   IF($C21="-","-",
     IF(DR$4&gt;$P21,"-",
       IF(DR$4=1,$E21,OFFSET(DR21,0,-2)-OFFSET(DR21,0,-1)
))))</f>
        <v>-</v>
      </c>
      <c r="DS21" s="57" t="str">
        <f>IF($H21=リスト!$AA$4,"-",
 IF($C21="-","-",
  IF(DR$4&gt;$P21,"-",
   CHOOSE(MATCH($H$3,リスト!$AE$3:$AE$5,0),
    ROUNDUP(
      DR21*IF(DR21*$I21&lt;=$L21,$J21,$I21)*
      IF($P21=1,
         ($G21-$F21+1)/$Q21,
         IF(DR$4=1,
            ($M21-$F21+1)/$Q21,
            IF(DR$4=$P21,
               ($G21-$O21+1)/$R21,
               1
      ))),0),
    ROUNDDOWN(
      DR21*IF(DR21*$I21&lt;=$L21,$J21,$I21)*
      IF($P21=1,
         ($G21-$F21+1)/$Q21,
         IF(DR$4=1,
            ($M21-$F21+1)/$Q21,
            IF(DR$4=$P21,
               ($G21-$O21+1)/$R21,
               1
      ))),0),
    ROUND(
      DR21*IF(DR21*$I21&lt;=$L21,$J21,$I21)*
      IF($P21=1,
         ($G21-$F21+1)/$Q21,
         IF(DR$4=1,
            ($M21-$F21+1)/$Q21,
            IF(DR$4=$P21,
               ($G21-$O21+1)/$R21,
               1
      ))),0)
))))</f>
        <v>-</v>
      </c>
      <c r="DT21" s="56" t="str" cm="1">
        <f t="array" ref="DT21">IF($H21&lt;&gt;リスト!$AA$3,"-",$E21-SUMPRODUCT(IFERROR($Y21:$DS21*1,0), --(MOD(COLUMN($Y21:$DS21)-COLUMN($Y21),2)=0)))</f>
        <v>-</v>
      </c>
      <c r="DU21" s="56" t="str">
        <f>IF($H21&lt;&gt;リスト!$AA$4,"-",
    IF($H$3=リスト!$AE$3,$E21-ROUNDUP($E21*I21*$W21/12,0),
    IF($H$3=リスト!$AE$4,$E21-ROUNDDOWN($E21*I21*$W21/12,0),
    IF($H$3=リスト!$AE$5,$E21-ROUND($E21*I21*$W21/12,0),
    "-"))))</f>
        <v>-</v>
      </c>
    </row>
    <row r="22" spans="2:125">
      <c r="B22" s="54">
        <v>17</v>
      </c>
      <c r="C22" s="55" t="str">
        <f>IF('財産処分報告(災害)用'!$C22="","-",'財産処分報告(災害)用'!$C22)</f>
        <v>-</v>
      </c>
      <c r="D22" s="55" t="str">
        <f>'財産処分報告(災害)用'!$E22</f>
        <v>-</v>
      </c>
      <c r="E22" s="56" t="str">
        <f>IF('財産処分報告(災害)用'!$J22="","-",'財産処分報告(災害)用'!$J22)</f>
        <v>-</v>
      </c>
      <c r="F22" s="101" t="str">
        <f>IF('財産処分報告(災害)用'!$K22="","-",'財産処分報告(災害)用'!$K22)</f>
        <v>-</v>
      </c>
      <c r="G22" s="101" t="str">
        <f>IF('財産処分報告(災害)用'!$L22="","-",'財産処分報告(災害)用'!$L22)</f>
        <v>-</v>
      </c>
      <c r="H22" s="55" t="str">
        <f>IF('財産処分報告(災害)用'!$M22="","-",'財産処分報告(災害)用'!$M22)</f>
        <v>-</v>
      </c>
      <c r="I22" s="55" t="str">
        <f>IF(OR($D22="-",$H22="-"),"-",INDEX(リスト!$AG$2:$AI$101,MATCH($D22,リスト!$AG$2:$AG$101,0),MATCH($H22,リスト!$AG$2:$AI$2,0)))</f>
        <v>-</v>
      </c>
      <c r="J22" s="55" t="str">
        <f>IF(OR($D22="-",$H22="-"),"-",IF($H22=リスト!$AA$4,"-",INDEX(リスト!$AG$2:$AK$101,MATCH($D22,リスト!$AG$2:$AG$101,0),4)))</f>
        <v>-</v>
      </c>
      <c r="K22" s="55" t="str">
        <f>IF(OR($D22="-",$H22="-"),"-",IF($H22=リスト!$AA$4,"-",INDEX(リスト!$AG$2:$AK$101,MATCH($D22,リスト!$AG$2:$AG$101,0),5)))</f>
        <v>-</v>
      </c>
      <c r="L22" s="55" t="str">
        <f t="shared" si="0"/>
        <v>-</v>
      </c>
      <c r="M22" s="101" t="str">
        <f t="shared" si="1"/>
        <v>-</v>
      </c>
      <c r="N22" s="101" t="str">
        <f t="shared" si="2"/>
        <v>-</v>
      </c>
      <c r="O22" s="101" t="str">
        <f t="shared" si="3"/>
        <v>-</v>
      </c>
      <c r="P22" s="102" t="str">
        <f t="shared" si="4"/>
        <v>-</v>
      </c>
      <c r="Q22" s="115" t="str">
        <f t="shared" si="5"/>
        <v>-</v>
      </c>
      <c r="R22" s="116" t="str">
        <f t="shared" si="6"/>
        <v>-</v>
      </c>
      <c r="S22" s="102" t="str">
        <f t="shared" si="7"/>
        <v>-</v>
      </c>
      <c r="T22" s="102" t="str">
        <f t="shared" si="8"/>
        <v>-</v>
      </c>
      <c r="U22" s="102" t="str">
        <f t="shared" si="9"/>
        <v>-</v>
      </c>
      <c r="V22" s="102" t="str">
        <f t="shared" si="10"/>
        <v>-</v>
      </c>
      <c r="W22" s="55" t="str">
        <f t="shared" si="11"/>
        <v>-</v>
      </c>
      <c r="X22" s="56" t="str">
        <f ca="1">IF($H22=リスト!$AA$4,"-",
   IF($C22="-","-",
     IF(X$4&gt;$P22,"-",
       IF(X$4=1,$E22,OFFSET(X22,0,-2)-OFFSET(X22,0,-1)
))))</f>
        <v>-</v>
      </c>
      <c r="Y22" s="57" t="str">
        <f>IF($H22=リスト!$AA$4,"-",
 IF($C22="-","-",
  IF(X$4&gt;$P22,"-",
   CHOOSE(MATCH($H$3,リスト!$AE$3:$AE$5,0),
    ROUNDUP(
      X22*IF(X22*$I22&lt;=$L22,$J22,$I22)*
      IF($P22=1,
         $S22/12,
         IF(X$4=1,
            $T22/12,
            IF(X$4=$P22,
               $U22/12,
               1
      ))),0),
    ROUNDDOWN(
      X22*IF(X22*$I22&lt;=$L22,$J22,$I22)*
      IF($P22=1,
         $S22/12,
         IF(X$4=1,
            $T22/12,
            IF(X$4=$P22,
               $U22/12,
               1
      ))),0),
    ROUND(
      X22*IF(X22*$I22&lt;=$L22,$J22,$I22)*
      IF($P22=1,
         $S22/12,
         IF(X$4=1,
            $T22/12,
            IF(X$4=$P22,
               $U22/12,
               1
      ))),0)
))))</f>
        <v>-</v>
      </c>
      <c r="Z22" s="56" t="str">
        <f ca="1">IF($H22=リスト!$AA$4,"-",
   IF($C22="-","-",
     IF(Z$4&gt;$P22,"-",
       IF(Z$4=1,$E22,OFFSET(Z22,0,-2)-OFFSET(Z22,0,-1)
))))</f>
        <v>-</v>
      </c>
      <c r="AA22" s="57" t="str">
        <f>IF($H22=リスト!$AA$4,"-",
 IF($C22="-","-",
  IF(Z$4&gt;$P22,"-",
   CHOOSE(MATCH($H$3,リスト!$AE$3:$AE$5,0),
    ROUNDUP(
      Z22*IF(Z22*$I22&lt;=$L22,$J22,$I22)*
      IF($P22=1,
         $S22/12,
         IF(Z$4=1,
            $T22/12,
            IF(Z$4=$P22,
               $U22/12,
               1
      ))),0),
    ROUNDDOWN(
      Z22*IF(Z22*$I22&lt;=$L22,$J22,$I22)*
      IF($P22=1,
         $S22/12,
         IF(Z$4=1,
            $T22/12,
            IF(Z$4=$P22,
               $U22/12,
               1
      ))),0),
    ROUND(
      Z22*IF(Z22*$I22&lt;=$L22,$J22,$I22)*
      IF($P22=1,
         $S22/12,
         IF(Z$4=1,
            $T22/12,
            IF(Z$4=$P22,
               $U22/12,
               1
      ))),0)
))))</f>
        <v>-</v>
      </c>
      <c r="AB22" s="56" t="str">
        <f ca="1">IF($H22=リスト!$AA$4,"-",
   IF($C22="-","-",
     IF(AB$4&gt;$P22,"-",
       IF(AB$4=1,$E22,OFFSET(AB22,0,-2)-OFFSET(AB22,0,-1)
))))</f>
        <v>-</v>
      </c>
      <c r="AC22" s="57" t="str">
        <f>IF($H22=リスト!$AA$4,"-",
 IF($C22="-","-",
  IF(AB$4&gt;$P22,"-",
   CHOOSE(MATCH($H$3,リスト!$AE$3:$AE$5,0),
    ROUNDUP(
      AB22*IF(AB22*$I22&lt;=$L22,$J22,$I22)*
      IF($P22=1,
         $S22/12,
         IF(AB$4=1,
            $T22/12,
            IF(AB$4=$P22,
               $U22/12,
               1
      ))),0),
    ROUNDDOWN(
      AB22*IF(AB22*$I22&lt;=$L22,$J22,$I22)*
      IF($P22=1,
         $S22/12,
         IF(AB$4=1,
            $T22/12,
            IF(AB$4=$P22,
               $U22/12,
               1
      ))),0),
    ROUND(
      AB22*IF(AB22*$I22&lt;=$L22,$J22,$I22)*
      IF($P22=1,
         $S22/12,
         IF(AB$4=1,
            $T22/12,
            IF(AB$4=$P22,
               $U22/12,
               1
      ))),0)
))))</f>
        <v>-</v>
      </c>
      <c r="AD22" s="56" t="str">
        <f ca="1">IF($H22=リスト!$AA$4,"-",
   IF($C22="-","-",
     IF(AD$4&gt;$P22,"-",
       IF(AD$4=1,$E22,OFFSET(AD22,0,-2)-OFFSET(AD22,0,-1)
))))</f>
        <v>-</v>
      </c>
      <c r="AE22" s="57" t="str">
        <f>IF($H22=リスト!$AA$4,"-",
 IF($C22="-","-",
  IF(AD$4&gt;$P22,"-",
   CHOOSE(MATCH($H$3,リスト!$AE$3:$AE$5,0),
    ROUNDUP(
      AD22*IF(AD22*$I22&lt;=$L22,$J22,$I22)*
      IF($P22=1,
         $S22/12,
         IF(AD$4=1,
            $T22/12,
            IF(AD$4=$P22,
               $U22/12,
               1
      ))),0),
    ROUNDDOWN(
      AD22*IF(AD22*$I22&lt;=$L22,$J22,$I22)*
      IF($P22=1,
         $S22/12,
         IF(AD$4=1,
            $T22/12,
            IF(AD$4=$P22,
               $U22/12,
               1
      ))),0),
    ROUND(
      AD22*IF(AD22*$I22&lt;=$L22,$J22,$I22)*
      IF($P22=1,
         $S22/12,
         IF(AD$4=1,
            $T22/12,
            IF(AD$4=$P22,
               $U22/12,
               1
      ))),0)
))))</f>
        <v>-</v>
      </c>
      <c r="AF22" s="56" t="str">
        <f ca="1">IF($H22=リスト!$AA$4,"-",
   IF($C22="-","-",
     IF(AF$4&gt;$P22,"-",
       IF(AF$4=1,$E22,OFFSET(AF22,0,-2)-OFFSET(AF22,0,-1)
))))</f>
        <v>-</v>
      </c>
      <c r="AG22" s="57" t="str">
        <f>IF($H22=リスト!$AA$4,"-",
 IF($C22="-","-",
  IF(AF$4&gt;$P22,"-",
   CHOOSE(MATCH($H$3,リスト!$AE$3:$AE$5,0),
    ROUNDUP(
      AF22*IF(AF22*$I22&lt;=$L22,$J22,$I22)*
      IF($P22=1,
         $S22/12,
         IF(AF$4=1,
            $T22/12,
            IF(AF$4=$P22,
               $U22/12,
               1
      ))),0),
    ROUNDDOWN(
      AF22*IF(AF22*$I22&lt;=$L22,$J22,$I22)*
      IF($P22=1,
         $S22/12,
         IF(AF$4=1,
            $T22/12,
            IF(AF$4=$P22,
               $U22/12,
               1
      ))),0),
    ROUND(
      AF22*IF(AF22*$I22&lt;=$L22,$J22,$I22)*
      IF($P22=1,
         $S22/12,
         IF(AF$4=1,
            $T22/12,
            IF(AF$4=$P22,
               $U22/12,
               1
      ))),0)
))))</f>
        <v>-</v>
      </c>
      <c r="AH22" s="56" t="str">
        <f ca="1">IF($H22=リスト!$AA$4,"-",
   IF($C22="-","-",
     IF(AH$4&gt;$P22,"-",
       IF(AH$4=1,$E22,OFFSET(AH22,0,-2)-OFFSET(AH22,0,-1)
))))</f>
        <v>-</v>
      </c>
      <c r="AI22" s="57" t="str">
        <f>IF($H22=リスト!$AA$4,"-",
 IF($C22="-","-",
  IF(AH$4&gt;$P22,"-",
   CHOOSE(MATCH($H$3,リスト!$AE$3:$AE$5,0),
    ROUNDUP(
      AH22*IF(AH22*$I22&lt;=$L22,$J22,$I22)*
      IF($P22=1,
         $S22/12,
         IF(AH$4=1,
            $T22/12,
            IF(AH$4=$P22,
               $U22/12,
               1
      ))),0),
    ROUNDDOWN(
      AH22*IF(AH22*$I22&lt;=$L22,$J22,$I22)*
      IF($P22=1,
         $S22/12,
         IF(AH$4=1,
            $T22/12,
            IF(AH$4=$P22,
               $U22/12,
               1
      ))),0),
    ROUND(
      AH22*IF(AH22*$I22&lt;=$L22,$J22,$I22)*
      IF($P22=1,
         $S22/12,
         IF(AH$4=1,
            $T22/12,
            IF(AH$4=$P22,
               $U22/12,
               1
      ))),0)
))))</f>
        <v>-</v>
      </c>
      <c r="AJ22" s="56" t="str">
        <f ca="1">IF($H22=リスト!$AA$4,"-",
   IF($C22="-","-",
     IF(AJ$4&gt;$P22,"-",
       IF(AJ$4=1,$E22,OFFSET(AJ22,0,-2)-OFFSET(AJ22,0,-1)
))))</f>
        <v>-</v>
      </c>
      <c r="AK22" s="57" t="str">
        <f>IF($H22=リスト!$AA$4,"-",
 IF($C22="-","-",
  IF(AJ$4&gt;$P22,"-",
   CHOOSE(MATCH($H$3,リスト!$AE$3:$AE$5,0),
    ROUNDUP(
      AJ22*IF(AJ22*$I22&lt;=$L22,$J22,$I22)*
      IF($P22=1,
         $S22/12,
         IF(AJ$4=1,
            $T22/12,
            IF(AJ$4=$P22,
               $U22/12,
               1
      ))),0),
    ROUNDDOWN(
      AJ22*IF(AJ22*$I22&lt;=$L22,$J22,$I22)*
      IF($P22=1,
         $S22/12,
         IF(AJ$4=1,
            $T22/12,
            IF(AJ$4=$P22,
               $U22/12,
               1
      ))),0),
    ROUND(
      AJ22*IF(AJ22*$I22&lt;=$L22,$J22,$I22)*
      IF($P22=1,
         $S22/12,
         IF(AJ$4=1,
            $T22/12,
            IF(AJ$4=$P22,
               $U22/12,
               1
      ))),0)
))))</f>
        <v>-</v>
      </c>
      <c r="AL22" s="56" t="str">
        <f ca="1">IF($H22=リスト!$AA$4,"-",
   IF($C22="-","-",
     IF(AL$4&gt;$P22,"-",
       IF(AL$4=1,$E22,OFFSET(AL22,0,-2)-OFFSET(AL22,0,-1)
))))</f>
        <v>-</v>
      </c>
      <c r="AM22" s="57" t="str">
        <f>IF($H22=リスト!$AA$4,"-",
 IF($C22="-","-",
  IF(AL$4&gt;$P22,"-",
   CHOOSE(MATCH($H$3,リスト!$AE$3:$AE$5,0),
    ROUNDUP(
      AL22*IF(AL22*$I22&lt;=$L22,$J22,$I22)*
      IF($P22=1,
         $S22/12,
         IF(AL$4=1,
            $T22/12,
            IF(AL$4=$P22,
               $U22/12,
               1
      ))),0),
    ROUNDDOWN(
      AL22*IF(AL22*$I22&lt;=$L22,$J22,$I22)*
      IF($P22=1,
         $S22/12,
         IF(AL$4=1,
            $T22/12,
            IF(AL$4=$P22,
               $U22/12,
               1
      ))),0),
    ROUND(
      AL22*IF(AL22*$I22&lt;=$L22,$J22,$I22)*
      IF($P22=1,
         $S22/12,
         IF(AL$4=1,
            $T22/12,
            IF(AL$4=$P22,
               $U22/12,
               1
      ))),0)
))))</f>
        <v>-</v>
      </c>
      <c r="AN22" s="56" t="str">
        <f ca="1">IF($H22=リスト!$AA$4,"-",
   IF($C22="-","-",
     IF(AN$4&gt;$P22,"-",
       IF(AN$4=1,$E22,OFFSET(AN22,0,-2)-OFFSET(AN22,0,-1)
))))</f>
        <v>-</v>
      </c>
      <c r="AO22" s="57" t="str">
        <f>IF($H22=リスト!$AA$4,"-",
 IF($C22="-","-",
  IF(AN$4&gt;$P22,"-",
   CHOOSE(MATCH($H$3,リスト!$AE$3:$AE$5,0),
    ROUNDUP(
      AN22*IF(AN22*$I22&lt;=$L22,$J22,$I22)*
      IF($P22=1,
         $S22/12,
         IF(AN$4=1,
            $T22/12,
            IF(AN$4=$P22,
               $U22/12,
               1
      ))),0),
    ROUNDDOWN(
      AN22*IF(AN22*$I22&lt;=$L22,$J22,$I22)*
      IF($P22=1,
         $S22/12,
         IF(AN$4=1,
            $T22/12,
            IF(AN$4=$P22,
               $U22/12,
               1
      ))),0),
    ROUND(
      AN22*IF(AN22*$I22&lt;=$L22,$J22,$I22)*
      IF($P22=1,
         $S22/12,
         IF(AN$4=1,
            $T22/12,
            IF(AN$4=$P22,
               $U22/12,
               1
      ))),0)
))))</f>
        <v>-</v>
      </c>
      <c r="AP22" s="56" t="str">
        <f ca="1">IF($H22=リスト!$AA$4,"-",
   IF($C22="-","-",
     IF(AP$4&gt;$P22,"-",
       IF(AP$4=1,$E22,OFFSET(AP22,0,-2)-OFFSET(AP22,0,-1)
))))</f>
        <v>-</v>
      </c>
      <c r="AQ22" s="57" t="str">
        <f>IF($H22=リスト!$AA$4,"-",
 IF($C22="-","-",
  IF(AP$4&gt;$P22,"-",
   CHOOSE(MATCH($H$3,リスト!$AE$3:$AE$5,0),
    ROUNDUP(
      AP22*IF(AP22*$I22&lt;=$L22,$J22,$I22)*
      IF($P22=1,
         $S22/12,
         IF(AP$4=1,
            $T22/12,
            IF(AP$4=$P22,
               $U22/12,
               1
      ))),0),
    ROUNDDOWN(
      AP22*IF(AP22*$I22&lt;=$L22,$J22,$I22)*
      IF($P22=1,
         $S22/12,
         IF(AP$4=1,
            $T22/12,
            IF(AP$4=$P22,
               $U22/12,
               1
      ))),0),
    ROUND(
      AP22*IF(AP22*$I22&lt;=$L22,$J22,$I22)*
      IF($P22=1,
         $S22/12,
         IF(AP$4=1,
            $T22/12,
            IF(AP$4=$P22,
               $U22/12,
               1
      ))),0)
))))</f>
        <v>-</v>
      </c>
      <c r="AR22" s="56" t="str">
        <f ca="1">IF($H22=リスト!$AA$4,"-",
   IF($C22="-","-",
     IF(AR$4&gt;$P22,"-",
       IF(AR$4=1,$E22,OFFSET(AR22,0,-2)-OFFSET(AR22,0,-1)
))))</f>
        <v>-</v>
      </c>
      <c r="AS22" s="57" t="str">
        <f>IF($H22=リスト!$AA$4,"-",
 IF($C22="-","-",
  IF(AR$4&gt;$P22,"-",
   CHOOSE(MATCH($H$3,リスト!$AE$3:$AE$5,0),
    ROUNDUP(
      AR22*IF(AR22*$I22&lt;=$L22,$J22,$I22)*
      IF($P22=1,
         $S22/12,
         IF(AR$4=1,
            $T22/12,
            IF(AR$4=$P22,
               $U22/12,
               1
      ))),0),
    ROUNDDOWN(
      AR22*IF(AR22*$I22&lt;=$L22,$J22,$I22)*
      IF($P22=1,
         $S22/12,
         IF(AR$4=1,
            $T22/12,
            IF(AR$4=$P22,
               $U22/12,
               1
      ))),0),
    ROUND(
      AR22*IF(AR22*$I22&lt;=$L22,$J22,$I22)*
      IF($P22=1,
         $S22/12,
         IF(AR$4=1,
            $T22/12,
            IF(AR$4=$P22,
               $U22/12,
               1
      ))),0)
))))</f>
        <v>-</v>
      </c>
      <c r="AT22" s="56" t="str">
        <f ca="1">IF($H22=リスト!$AA$4,"-",
   IF($C22="-","-",
     IF(AT$4&gt;$P22,"-",
       IF(AT$4=1,$E22,OFFSET(AT22,0,-2)-OFFSET(AT22,0,-1)
))))</f>
        <v>-</v>
      </c>
      <c r="AU22" s="57" t="str">
        <f>IF($H22=リスト!$AA$4,"-",
 IF($C22="-","-",
  IF(AT$4&gt;$P22,"-",
   CHOOSE(MATCH($H$3,リスト!$AE$3:$AE$5,0),
    ROUNDUP(
      AT22*IF(AT22*$I22&lt;=$L22,$J22,$I22)*
      IF($P22=1,
         $S22/12,
         IF(AT$4=1,
            $T22/12,
            IF(AT$4=$P22,
               $U22/12,
               1
      ))),0),
    ROUNDDOWN(
      AT22*IF(AT22*$I22&lt;=$L22,$J22,$I22)*
      IF($P22=1,
         $S22/12,
         IF(AT$4=1,
            $T22/12,
            IF(AT$4=$P22,
               $U22/12,
               1
      ))),0),
    ROUND(
      AT22*IF(AT22*$I22&lt;=$L22,$J22,$I22)*
      IF($P22=1,
         $S22/12,
         IF(AT$4=1,
            $T22/12,
            IF(AT$4=$P22,
               $U22/12,
               1
      ))),0)
))))</f>
        <v>-</v>
      </c>
      <c r="AV22" s="56" t="str">
        <f ca="1">IF($H22=リスト!$AA$4,"-",
   IF($C22="-","-",
     IF(AV$4&gt;$P22,"-",
       IF(AV$4=1,$E22,OFFSET(AV22,0,-2)-OFFSET(AV22,0,-1)
))))</f>
        <v>-</v>
      </c>
      <c r="AW22" s="57" t="str">
        <f>IF($H22=リスト!$AA$4,"-",
 IF($C22="-","-",
  IF(AV$4&gt;$P22,"-",
   CHOOSE(MATCH($H$3,リスト!$AE$3:$AE$5,0),
    ROUNDUP(
      AV22*IF(AV22*$I22&lt;=$L22,$J22,$I22)*
      IF($P22=1,
         $S22/12,
         IF(AV$4=1,
            $T22/12,
            IF(AV$4=$P22,
               $U22/12,
               1
      ))),0),
    ROUNDDOWN(
      AV22*IF(AV22*$I22&lt;=$L22,$J22,$I22)*
      IF($P22=1,
         $S22/12,
         IF(AV$4=1,
            $T22/12,
            IF(AV$4=$P22,
               $U22/12,
               1
      ))),0),
    ROUND(
      AV22*IF(AV22*$I22&lt;=$L22,$J22,$I22)*
      IF($P22=1,
         $S22/12,
         IF(AV$4=1,
            $T22/12,
            IF(AV$4=$P22,
               $U22/12,
               1
      ))),0)
))))</f>
        <v>-</v>
      </c>
      <c r="AX22" s="56" t="str">
        <f ca="1">IF($H22=リスト!$AA$4,"-",
   IF($C22="-","-",
     IF(AX$4&gt;$P22,"-",
       IF(AX$4=1,$E22,OFFSET(AX22,0,-2)-OFFSET(AX22,0,-1)
))))</f>
        <v>-</v>
      </c>
      <c r="AY22" s="57" t="str">
        <f>IF($H22=リスト!$AA$4,"-",
 IF($C22="-","-",
  IF(AX$4&gt;$P22,"-",
   CHOOSE(MATCH($H$3,リスト!$AE$3:$AE$5,0),
    ROUNDUP(
      AX22*IF(AX22*$I22&lt;=$L22,$J22,$I22)*
      IF($P22=1,
         $S22/12,
         IF(AX$4=1,
            $T22/12,
            IF(AX$4=$P22,
               $U22/12,
               1
      ))),0),
    ROUNDDOWN(
      AX22*IF(AX22*$I22&lt;=$L22,$J22,$I22)*
      IF($P22=1,
         $S22/12,
         IF(AX$4=1,
            $T22/12,
            IF(AX$4=$P22,
               $U22/12,
               1
      ))),0),
    ROUND(
      AX22*IF(AX22*$I22&lt;=$L22,$J22,$I22)*
      IF($P22=1,
         $S22/12,
         IF(AX$4=1,
            $T22/12,
            IF(AX$4=$P22,
               $U22/12,
               1
      ))),0)
))))</f>
        <v>-</v>
      </c>
      <c r="AZ22" s="56" t="str">
        <f ca="1">IF($H22=リスト!$AA$4,"-",
   IF($C22="-","-",
     IF(AZ$4&gt;$P22,"-",
       IF(AZ$4=1,$E22,OFFSET(AZ22,0,-2)-OFFSET(AZ22,0,-1)
))))</f>
        <v>-</v>
      </c>
      <c r="BA22" s="57" t="str">
        <f>IF($H22=リスト!$AA$4,"-",
 IF($C22="-","-",
  IF(AZ$4&gt;$P22,"-",
   CHOOSE(MATCH($H$3,リスト!$AE$3:$AE$5,0),
    ROUNDUP(
      AZ22*IF(AZ22*$I22&lt;=$L22,$J22,$I22)*
      IF($P22=1,
         $S22/12,
         IF(AZ$4=1,
            $T22/12,
            IF(AZ$4=$P22,
               $U22/12,
               1
      ))),0),
    ROUNDDOWN(
      AZ22*IF(AZ22*$I22&lt;=$L22,$J22,$I22)*
      IF($P22=1,
         $S22/12,
         IF(AZ$4=1,
            $T22/12,
            IF(AZ$4=$P22,
               $U22/12,
               1
      ))),0),
    ROUND(
      AZ22*IF(AZ22*$I22&lt;=$L22,$J22,$I22)*
      IF($P22=1,
         $S22/12,
         IF(AZ$4=1,
            $T22/12,
            IF(AZ$4=$P22,
               $U22/12,
               1
      ))),0)
))))</f>
        <v>-</v>
      </c>
      <c r="BB22" s="56" t="str">
        <f ca="1">IF($H22=リスト!$AA$4,"-",
   IF($C22="-","-",
     IF(BB$4&gt;$P22,"-",
       IF(BB$4=1,$E22,OFFSET(BB22,0,-2)-OFFSET(BB22,0,-1)
))))</f>
        <v>-</v>
      </c>
      <c r="BC22" s="57" t="str">
        <f>IF($H22=リスト!$AA$4,"-",
 IF($C22="-","-",
  IF(BB$4&gt;$P22,"-",
   CHOOSE(MATCH($H$3,リスト!$AE$3:$AE$5,0),
    ROUNDUP(
      BB22*IF(BB22*$I22&lt;=$L22,$J22,$I22)*
      IF($P22=1,
         $S22/12,
         IF(BB$4=1,
            $T22/12,
            IF(BB$4=$P22,
               $U22/12,
               1
      ))),0),
    ROUNDDOWN(
      BB22*IF(BB22*$I22&lt;=$L22,$J22,$I22)*
      IF($P22=1,
         $S22/12,
         IF(BB$4=1,
            $T22/12,
            IF(BB$4=$P22,
               $U22/12,
               1
      ))),0),
    ROUND(
      BB22*IF(BB22*$I22&lt;=$L22,$J22,$I22)*
      IF($P22=1,
         $S22/12,
         IF(BB$4=1,
            $T22/12,
            IF(BB$4=$P22,
               $U22/12,
               1
      ))),0)
))))</f>
        <v>-</v>
      </c>
      <c r="BD22" s="56" t="str">
        <f ca="1">IF($H22=リスト!$AA$4,"-",
   IF($C22="-","-",
     IF(BD$4&gt;$P22,"-",
       IF(BD$4=1,$E22,OFFSET(BD22,0,-2)-OFFSET(BD22,0,-1)
))))</f>
        <v>-</v>
      </c>
      <c r="BE22" s="57" t="str">
        <f>IF($H22=リスト!$AA$4,"-",
 IF($C22="-","-",
  IF(BD$4&gt;$P22,"-",
   CHOOSE(MATCH($H$3,リスト!$AE$3:$AE$5,0),
    ROUNDUP(
      BD22*IF(BD22*$I22&lt;=$L22,$J22,$I22)*
      IF($P22=1,
         $S22/12,
         IF(BD$4=1,
            $T22/12,
            IF(BD$4=$P22,
               $U22/12,
               1
      ))),0),
    ROUNDDOWN(
      BD22*IF(BD22*$I22&lt;=$L22,$J22,$I22)*
      IF($P22=1,
         $S22/12,
         IF(BD$4=1,
            $T22/12,
            IF(BD$4=$P22,
               $U22/12,
               1
      ))),0),
    ROUND(
      BD22*IF(BD22*$I22&lt;=$L22,$J22,$I22)*
      IF($P22=1,
         $S22/12,
         IF(BD$4=1,
            $T22/12,
            IF(BD$4=$P22,
               $U22/12,
               1
      ))),0)
))))</f>
        <v>-</v>
      </c>
      <c r="BF22" s="56" t="str">
        <f ca="1">IF($H22=リスト!$AA$4,"-",
   IF($C22="-","-",
     IF(BF$4&gt;$P22,"-",
       IF(BF$4=1,$E22,OFFSET(BF22,0,-2)-OFFSET(BF22,0,-1)
))))</f>
        <v>-</v>
      </c>
      <c r="BG22" s="57" t="str">
        <f>IF($H22=リスト!$AA$4,"-",
 IF($C22="-","-",
  IF(BF$4&gt;$P22,"-",
   CHOOSE(MATCH($H$3,リスト!$AE$3:$AE$5,0),
    ROUNDUP(
      BF22*IF(BF22*$I22&lt;=$L22,$J22,$I22)*
      IF($P22=1,
         $S22/12,
         IF(BF$4=1,
            $T22/12,
            IF(BF$4=$P22,
               $U22/12,
               1
      ))),0),
    ROUNDDOWN(
      BF22*IF(BF22*$I22&lt;=$L22,$J22,$I22)*
      IF($P22=1,
         $S22/12,
         IF(BF$4=1,
            $T22/12,
            IF(BF$4=$P22,
               $U22/12,
               1
      ))),0),
    ROUND(
      BF22*IF(BF22*$I22&lt;=$L22,$J22,$I22)*
      IF($P22=1,
         $S22/12,
         IF(BF$4=1,
            $T22/12,
            IF(BF$4=$P22,
               $U22/12,
               1
      ))),0)
))))</f>
        <v>-</v>
      </c>
      <c r="BH22" s="56" t="str">
        <f ca="1">IF($H22=リスト!$AA$4,"-",
   IF($C22="-","-",
     IF(BH$4&gt;$P22,"-",
       IF(BH$4=1,$E22,OFFSET(BH22,0,-2)-OFFSET(BH22,0,-1)
))))</f>
        <v>-</v>
      </c>
      <c r="BI22" s="57" t="str">
        <f>IF($H22=リスト!$AA$4,"-",
 IF($C22="-","-",
  IF(BH$4&gt;$P22,"-",
   CHOOSE(MATCH($H$3,リスト!$AE$3:$AE$5,0),
    ROUNDUP(
      BH22*IF(BH22*$I22&lt;=$L22,$J22,$I22)*
      IF($P22=1,
         $S22/12,
         IF(BH$4=1,
            $T22/12,
            IF(BH$4=$P22,
               $U22/12,
               1
      ))),0),
    ROUNDDOWN(
      BH22*IF(BH22*$I22&lt;=$L22,$J22,$I22)*
      IF($P22=1,
         $S22/12,
         IF(BH$4=1,
            $T22/12,
            IF(BH$4=$P22,
               $U22/12,
               1
      ))),0),
    ROUND(
      BH22*IF(BH22*$I22&lt;=$L22,$J22,$I22)*
      IF($P22=1,
         $S22/12,
         IF(BH$4=1,
            $T22/12,
            IF(BH$4=$P22,
               $U22/12,
               1
      ))),0)
))))</f>
        <v>-</v>
      </c>
      <c r="BJ22" s="56" t="str">
        <f ca="1">IF($H22=リスト!$AA$4,"-",
   IF($C22="-","-",
     IF(BJ$4&gt;$P22,"-",
       IF(BJ$4=1,$E22,OFFSET(BJ22,0,-2)-OFFSET(BJ22,0,-1)
))))</f>
        <v>-</v>
      </c>
      <c r="BK22" s="57" t="str">
        <f>IF($H22=リスト!$AA$4,"-",
 IF($C22="-","-",
  IF(BJ$4&gt;$P22,"-",
   CHOOSE(MATCH($H$3,リスト!$AE$3:$AE$5,0),
    ROUNDUP(
      BJ22*IF(BJ22*$I22&lt;=$L22,$J22,$I22)*
      IF($P22=1,
         $S22/12,
         IF(BJ$4=1,
            $T22/12,
            IF(BJ$4=$P22,
               $U22/12,
               1
      ))),0),
    ROUNDDOWN(
      BJ22*IF(BJ22*$I22&lt;=$L22,$J22,$I22)*
      IF($P22=1,
         $S22/12,
         IF(BJ$4=1,
            $T22/12,
            IF(BJ$4=$P22,
               $U22/12,
               1
      ))),0),
    ROUND(
      BJ22*IF(BJ22*$I22&lt;=$L22,$J22,$I22)*
      IF($P22=1,
         $S22/12,
         IF(BJ$4=1,
            $T22/12,
            IF(BJ$4=$P22,
               $U22/12,
               1
      ))),0)
))))</f>
        <v>-</v>
      </c>
      <c r="BL22" s="56" t="str">
        <f ca="1">IF($H22=リスト!$AA$4,"-",
   IF($C22="-","-",
     IF(BL$4&gt;$P22,"-",
       IF(BL$4=1,$E22,OFFSET(BL22,0,-2)-OFFSET(BL22,0,-1)
))))</f>
        <v>-</v>
      </c>
      <c r="BM22" s="57" t="str">
        <f>IF($H22=リスト!$AA$4,"-",
 IF($C22="-","-",
  IF(BL$4&gt;$P22,"-",
   CHOOSE(MATCH($H$3,リスト!$AE$3:$AE$5,0),
    ROUNDUP(
      BL22*IF(BL22*$I22&lt;=$L22,$J22,$I22)*
      IF($P22=1,
         $S22/12,
         IF(BL$4=1,
            $T22/12,
            IF(BL$4=$P22,
               $U22/12,
               1
      ))),0),
    ROUNDDOWN(
      BL22*IF(BL22*$I22&lt;=$L22,$J22,$I22)*
      IF($P22=1,
         $S22/12,
         IF(BL$4=1,
            $T22/12,
            IF(BL$4=$P22,
               $U22/12,
               1
      ))),0),
    ROUND(
      BL22*IF(BL22*$I22&lt;=$L22,$J22,$I22)*
      IF($P22=1,
         $S22/12,
         IF(BL$4=1,
            $T22/12,
            IF(BL$4=$P22,
               $U22/12,
               1
      ))),0)
))))</f>
        <v>-</v>
      </c>
      <c r="BN22" s="56" t="str">
        <f ca="1">IF($H22=リスト!$AA$4,"-",
   IF($C22="-","-",
     IF(BN$4&gt;$P22,"-",
       IF(BN$4=1,$E22,OFFSET(BN22,0,-2)-OFFSET(BN22,0,-1)
))))</f>
        <v>-</v>
      </c>
      <c r="BO22" s="57" t="str">
        <f>IF($H22=リスト!$AA$4,"-",
 IF($C22="-","-",
  IF(BN$4&gt;$P22,"-",
   CHOOSE(MATCH($H$3,リスト!$AE$3:$AE$5,0),
    ROUNDUP(
      BN22*IF(BN22*$I22&lt;=$L22,$J22,$I22)*
      IF($P22=1,
         $S22/12,
         IF(BN$4=1,
            $T22/12,
            IF(BN$4=$P22,
               $U22/12,
               1
      ))),0),
    ROUNDDOWN(
      BN22*IF(BN22*$I22&lt;=$L22,$J22,$I22)*
      IF($P22=1,
         $S22/12,
         IF(BN$4=1,
            $T22/12,
            IF(BN$4=$P22,
               $U22/12,
               1
      ))),0),
    ROUND(
      BN22*IF(BN22*$I22&lt;=$L22,$J22,$I22)*
      IF($P22=1,
         $S22/12,
         IF(BN$4=1,
            $T22/12,
            IF(BN$4=$P22,
               $U22/12,
               1
      ))),0)
))))</f>
        <v>-</v>
      </c>
      <c r="BP22" s="56" t="str">
        <f ca="1">IF($H22=リスト!$AA$4,"-",
   IF($C22="-","-",
     IF(BP$4&gt;$P22,"-",
       IF(BP$4=1,$E22,OFFSET(BP22,0,-2)-OFFSET(BP22,0,-1)
))))</f>
        <v>-</v>
      </c>
      <c r="BQ22" s="57" t="str">
        <f>IF($H22=リスト!$AA$4,"-",
 IF($C22="-","-",
  IF(BP$4&gt;$P22,"-",
   CHOOSE(MATCH($H$3,リスト!$AE$3:$AE$5,0),
    ROUNDUP(
      BP22*IF(BP22*$I22&lt;=$L22,$J22,$I22)*
      IF($P22=1,
         $S22/12,
         IF(BP$4=1,
            $T22/12,
            IF(BP$4=$P22,
               $U22/12,
               1
      ))),0),
    ROUNDDOWN(
      BP22*IF(BP22*$I22&lt;=$L22,$J22,$I22)*
      IF($P22=1,
         $S22/12,
         IF(BP$4=1,
            $T22/12,
            IF(BP$4=$P22,
               $U22/12,
               1
      ))),0),
    ROUND(
      BP22*IF(BP22*$I22&lt;=$L22,$J22,$I22)*
      IF($P22=1,
         $S22/12,
         IF(BP$4=1,
            $T22/12,
            IF(BP$4=$P22,
               $U22/12,
               1
      ))),0)
))))</f>
        <v>-</v>
      </c>
      <c r="BR22" s="56" t="str">
        <f ca="1">IF($H22=リスト!$AA$4,"-",
   IF($C22="-","-",
     IF(BR$4&gt;$P22,"-",
       IF(BR$4=1,$E22,OFFSET(BR22,0,-2)-OFFSET(BR22,0,-1)
))))</f>
        <v>-</v>
      </c>
      <c r="BS22" s="57" t="str">
        <f>IF($H22=リスト!$AA$4,"-",
 IF($C22="-","-",
  IF(BR$4&gt;$P22,"-",
   CHOOSE(MATCH($H$3,リスト!$AE$3:$AE$5,0),
    ROUNDUP(
      BR22*IF(BR22*$I22&lt;=$L22,$J22,$I22)*
      IF($P22=1,
         $S22/12,
         IF(BR$4=1,
            $T22/12,
            IF(BR$4=$P22,
               $U22/12,
               1
      ))),0),
    ROUNDDOWN(
      BR22*IF(BR22*$I22&lt;=$L22,$J22,$I22)*
      IF($P22=1,
         $S22/12,
         IF(BR$4=1,
            $T22/12,
            IF(BR$4=$P22,
               $U22/12,
               1
      ))),0),
    ROUND(
      BR22*IF(BR22*$I22&lt;=$L22,$J22,$I22)*
      IF($P22=1,
         $S22/12,
         IF(BR$4=1,
            $T22/12,
            IF(BR$4=$P22,
               $U22/12,
               1
      ))),0)
))))</f>
        <v>-</v>
      </c>
      <c r="BT22" s="56" t="str">
        <f ca="1">IF($H22=リスト!$AA$4,"-",
   IF($C22="-","-",
     IF(BT$4&gt;$P22,"-",
       IF(BT$4=1,$E22,OFFSET(BT22,0,-2)-OFFSET(BT22,0,-1)
))))</f>
        <v>-</v>
      </c>
      <c r="BU22" s="57" t="str">
        <f>IF($H22=リスト!$AA$4,"-",
 IF($C22="-","-",
  IF(BT$4&gt;$P22,"-",
   CHOOSE(MATCH($H$3,リスト!$AE$3:$AE$5,0),
    ROUNDUP(
      BT22*IF(BT22*$I22&lt;=$L22,$J22,$I22)*
      IF($P22=1,
         $S22/12,
         IF(BT$4=1,
            $T22/12,
            IF(BT$4=$P22,
               $U22/12,
               1
      ))),0),
    ROUNDDOWN(
      BT22*IF(BT22*$I22&lt;=$L22,$J22,$I22)*
      IF($P22=1,
         $S22/12,
         IF(BT$4=1,
            $T22/12,
            IF(BT$4=$P22,
               $U22/12,
               1
      ))),0),
    ROUND(
      BT22*IF(BT22*$I22&lt;=$L22,$J22,$I22)*
      IF($P22=1,
         $S22/12,
         IF(BT$4=1,
            $T22/12,
            IF(BT$4=$P22,
               $U22/12,
               1
      ))),0)
))))</f>
        <v>-</v>
      </c>
      <c r="BV22" s="56" t="str">
        <f ca="1">IF($H22=リスト!$AA$4,"-",
   IF($C22="-","-",
     IF(BV$4&gt;$P22,"-",
       IF(BV$4=1,$E22,OFFSET(BV22,0,-2)-OFFSET(BV22,0,-1)
))))</f>
        <v>-</v>
      </c>
      <c r="BW22" s="57" t="str">
        <f>IF($H22=リスト!$AA$4,"-",
 IF($C22="-","-",
  IF(BV$4&gt;$P22,"-",
   CHOOSE(MATCH($H$3,リスト!$AE$3:$AE$5,0),
    ROUNDUP(
      BV22*IF(BV22*$I22&lt;=$L22,$J22,$I22)*
      IF($P22=1,
         $S22/12,
         IF(BV$4=1,
            $T22/12,
            IF(BV$4=$P22,
               $U22/12,
               1
      ))),0),
    ROUNDDOWN(
      BV22*IF(BV22*$I22&lt;=$L22,$J22,$I22)*
      IF($P22=1,
         $S22/12,
         IF(BV$4=1,
            $T22/12,
            IF(BV$4=$P22,
               $U22/12,
               1
      ))),0),
    ROUND(
      BV22*IF(BV22*$I22&lt;=$L22,$J22,$I22)*
      IF($P22=1,
         $S22/12,
         IF(BV$4=1,
            $T22/12,
            IF(BV$4=$P22,
               $U22/12,
               1
      ))),0)
))))</f>
        <v>-</v>
      </c>
      <c r="BX22" s="56" t="str">
        <f ca="1">IF($H22=リスト!$AA$4,"-",
   IF($C22="-","-",
     IF(BX$4&gt;$P22,"-",
       IF(BX$4=1,$E22,OFFSET(BX22,0,-2)-OFFSET(BX22,0,-1)
))))</f>
        <v>-</v>
      </c>
      <c r="BY22" s="57" t="str">
        <f>IF($H22=リスト!$AA$4,"-",
 IF($C22="-","-",
  IF(BX$4&gt;$P22,"-",
   CHOOSE(MATCH($H$3,リスト!$AE$3:$AE$5,0),
    ROUNDUP(
      BX22*IF(BX22*$I22&lt;=$L22,$J22,$I22)*
      IF($P22=1,
         $S22/12,
         IF(BX$4=1,
            $T22/12,
            IF(BX$4=$P22,
               $U22/12,
               1
      ))),0),
    ROUNDDOWN(
      BX22*IF(BX22*$I22&lt;=$L22,$J22,$I22)*
      IF($P22=1,
         $S22/12,
         IF(BX$4=1,
            $T22/12,
            IF(BX$4=$P22,
               $U22/12,
               1
      ))),0),
    ROUND(
      BX22*IF(BX22*$I22&lt;=$L22,$J22,$I22)*
      IF($P22=1,
         $S22/12,
         IF(BX$4=1,
            $T22/12,
            IF(BX$4=$P22,
               $U22/12,
               1
      ))),0)
))))</f>
        <v>-</v>
      </c>
      <c r="BZ22" s="56" t="str">
        <f ca="1">IF($H22=リスト!$AA$4,"-",
   IF($C22="-","-",
     IF(BZ$4&gt;$P22,"-",
       IF(BZ$4=1,$E22,OFFSET(BZ22,0,-2)-OFFSET(BZ22,0,-1)
))))</f>
        <v>-</v>
      </c>
      <c r="CA22" s="57" t="str">
        <f>IF($H22=リスト!$AA$4,"-",
 IF($C22="-","-",
  IF(BZ$4&gt;$P22,"-",
   CHOOSE(MATCH($H$3,リスト!$AE$3:$AE$5,0),
    ROUNDUP(
      BZ22*IF(BZ22*$I22&lt;=$L22,$J22,$I22)*
      IF($P22=1,
         $S22/12,
         IF(BZ$4=1,
            $T22/12,
            IF(BZ$4=$P22,
               $U22/12,
               1
      ))),0),
    ROUNDDOWN(
      BZ22*IF(BZ22*$I22&lt;=$L22,$J22,$I22)*
      IF($P22=1,
         $S22/12,
         IF(BZ$4=1,
            $T22/12,
            IF(BZ$4=$P22,
               $U22/12,
               1
      ))),0),
    ROUND(
      BZ22*IF(BZ22*$I22&lt;=$L22,$J22,$I22)*
      IF($P22=1,
         $S22/12,
         IF(BZ$4=1,
            $T22/12,
            IF(BZ$4=$P22,
               $U22/12,
               1
      ))),0)
))))</f>
        <v>-</v>
      </c>
      <c r="CB22" s="56" t="str">
        <f ca="1">IF($H22=リスト!$AA$4,"-",
   IF($C22="-","-",
     IF(CB$4&gt;$P22,"-",
       IF(CB$4=1,$E22,OFFSET(CB22,0,-2)-OFFSET(CB22,0,-1)
))))</f>
        <v>-</v>
      </c>
      <c r="CC22" s="57" t="str">
        <f>IF($H22=リスト!$AA$4,"-",
 IF($C22="-","-",
  IF(CB$4&gt;$P22,"-",
   CHOOSE(MATCH($H$3,リスト!$AE$3:$AE$5,0),
    ROUNDUP(
      CB22*IF(CB22*$I22&lt;=$L22,$J22,$I22)*
      IF($P22=1,
         $S22/12,
         IF(CB$4=1,
            $T22/12,
            IF(CB$4=$P22,
               $U22/12,
               1
      ))),0),
    ROUNDDOWN(
      CB22*IF(CB22*$I22&lt;=$L22,$J22,$I22)*
      IF($P22=1,
         $S22/12,
         IF(CB$4=1,
            $T22/12,
            IF(CB$4=$P22,
               $U22/12,
               1
      ))),0),
    ROUND(
      CB22*IF(CB22*$I22&lt;=$L22,$J22,$I22)*
      IF($P22=1,
         $S22/12,
         IF(CB$4=1,
            $T22/12,
            IF(CB$4=$P22,
               $U22/12,
               1
      ))),0)
))))</f>
        <v>-</v>
      </c>
      <c r="CD22" s="56" t="str">
        <f ca="1">IF($H22=リスト!$AA$4,"-",
   IF($C22="-","-",
     IF(CD$4&gt;$P22,"-",
       IF(CD$4=1,$E22,OFFSET(CD22,0,-2)-OFFSET(CD22,0,-1)
))))</f>
        <v>-</v>
      </c>
      <c r="CE22" s="57" t="str">
        <f>IF($H22=リスト!$AA$4,"-",
 IF($C22="-","-",
  IF(CD$4&gt;$P22,"-",
   CHOOSE(MATCH($H$3,リスト!$AE$3:$AE$5,0),
    ROUNDUP(
      CD22*IF(CD22*$I22&lt;=$L22,$J22,$I22)*
      IF($P22=1,
         $S22/12,
         IF(CD$4=1,
            $T22/12,
            IF(CD$4=$P22,
               $U22/12,
               1
      ))),0),
    ROUNDDOWN(
      CD22*IF(CD22*$I22&lt;=$L22,$J22,$I22)*
      IF($P22=1,
         $S22/12,
         IF(CD$4=1,
            $T22/12,
            IF(CD$4=$P22,
               $U22/12,
               1
      ))),0),
    ROUND(
      CD22*IF(CD22*$I22&lt;=$L22,$J22,$I22)*
      IF($P22=1,
         $S22/12,
         IF(CD$4=1,
            $T22/12,
            IF(CD$4=$P22,
               $U22/12,
               1
      ))),0)
))))</f>
        <v>-</v>
      </c>
      <c r="CF22" s="56" t="str">
        <f ca="1">IF($H22=リスト!$AA$4,"-",
   IF($C22="-","-",
     IF(CF$4&gt;$P22,"-",
       IF(CF$4=1,$E22,OFFSET(CF22,0,-2)-OFFSET(CF22,0,-1)
))))</f>
        <v>-</v>
      </c>
      <c r="CG22" s="57" t="str">
        <f>IF($H22=リスト!$AA$4,"-",
 IF($C22="-","-",
  IF(CF$4&gt;$P22,"-",
   CHOOSE(MATCH($H$3,リスト!$AE$3:$AE$5,0),
    ROUNDUP(
      CF22*IF(CF22*$I22&lt;=$L22,$J22,$I22)*
      IF($P22=1,
         $S22/12,
         IF(CF$4=1,
            $T22/12,
            IF(CF$4=$P22,
               $U22/12,
               1
      ))),0),
    ROUNDDOWN(
      CF22*IF(CF22*$I22&lt;=$L22,$J22,$I22)*
      IF($P22=1,
         $S22/12,
         IF(CF$4=1,
            $T22/12,
            IF(CF$4=$P22,
               $U22/12,
               1
      ))),0),
    ROUND(
      CF22*IF(CF22*$I22&lt;=$L22,$J22,$I22)*
      IF($P22=1,
         $S22/12,
         IF(CF$4=1,
            $T22/12,
            IF(CF$4=$P22,
               $U22/12,
               1
      ))),0)
))))</f>
        <v>-</v>
      </c>
      <c r="CH22" s="56" t="str">
        <f ca="1">IF($H22=リスト!$AA$4,"-",
   IF($C22="-","-",
     IF(CH$4&gt;$P22,"-",
       IF(CH$4=1,$E22,OFFSET(CH22,0,-2)-OFFSET(CH22,0,-1)
))))</f>
        <v>-</v>
      </c>
      <c r="CI22" s="57" t="str">
        <f>IF($H22=リスト!$AA$4,"-",
 IF($C22="-","-",
  IF(CH$4&gt;$P22,"-",
   CHOOSE(MATCH($H$3,リスト!$AE$3:$AE$5,0),
    ROUNDUP(
      CH22*IF(CH22*$I22&lt;=$L22,$J22,$I22)*
      IF($P22=1,
         $S22/12,
         IF(CH$4=1,
            $T22/12,
            IF(CH$4=$P22,
               $U22/12,
               1
      ))),0),
    ROUNDDOWN(
      CH22*IF(CH22*$I22&lt;=$L22,$J22,$I22)*
      IF($P22=1,
         $S22/12,
         IF(CH$4=1,
            $T22/12,
            IF(CH$4=$P22,
               $U22/12,
               1
      ))),0),
    ROUND(
      CH22*IF(CH22*$I22&lt;=$L22,$J22,$I22)*
      IF($P22=1,
         $S22/12,
         IF(CH$4=1,
            $T22/12,
            IF(CH$4=$P22,
               $U22/12,
               1
      ))),0)
))))</f>
        <v>-</v>
      </c>
      <c r="CJ22" s="56" t="str">
        <f ca="1">IF($H22=リスト!$AA$4,"-",
   IF($C22="-","-",
     IF(CJ$4&gt;$P22,"-",
       IF(CJ$4=1,$E22,OFFSET(CJ22,0,-2)-OFFSET(CJ22,0,-1)
))))</f>
        <v>-</v>
      </c>
      <c r="CK22" s="57" t="str">
        <f>IF($H22=リスト!$AA$4,"-",
 IF($C22="-","-",
  IF(CJ$4&gt;$P22,"-",
   CHOOSE(MATCH($H$3,リスト!$AE$3:$AE$5,0),
    ROUNDUP(
      CJ22*IF(CJ22*$I22&lt;=$L22,$J22,$I22)*
      IF($P22=1,
         $S22/12,
         IF(CJ$4=1,
            $T22/12,
            IF(CJ$4=$P22,
               $U22/12,
               1
      ))),0),
    ROUNDDOWN(
      CJ22*IF(CJ22*$I22&lt;=$L22,$J22,$I22)*
      IF($P22=1,
         $S22/12,
         IF(CJ$4=1,
            $T22/12,
            IF(CJ$4=$P22,
               $U22/12,
               1
      ))),0),
    ROUND(
      CJ22*IF(CJ22*$I22&lt;=$L22,$J22,$I22)*
      IF($P22=1,
         $S22/12,
         IF(CJ$4=1,
            $T22/12,
            IF(CJ$4=$P22,
               $U22/12,
               1
      ))),0)
))))</f>
        <v>-</v>
      </c>
      <c r="CL22" s="56" t="str">
        <f ca="1">IF($H22=リスト!$AA$4,"-",
   IF($C22="-","-",
     IF(CL$4&gt;$P22,"-",
       IF(CL$4=1,$E22,OFFSET(CL22,0,-2)-OFFSET(CL22,0,-1)
))))</f>
        <v>-</v>
      </c>
      <c r="CM22" s="57" t="str">
        <f>IF($H22=リスト!$AA$4,"-",
 IF($C22="-","-",
  IF(CL$4&gt;$P22,"-",
   CHOOSE(MATCH($H$3,リスト!$AE$3:$AE$5,0),
    ROUNDUP(
      CL22*IF(CL22*$I22&lt;=$L22,$J22,$I22)*
      IF($P22=1,
         $S22/12,
         IF(CL$4=1,
            $T22/12,
            IF(CL$4=$P22,
               $U22/12,
               1
      ))),0),
    ROUNDDOWN(
      CL22*IF(CL22*$I22&lt;=$L22,$J22,$I22)*
      IF($P22=1,
         $S22/12,
         IF(CL$4=1,
            $T22/12,
            IF(CL$4=$P22,
               $U22/12,
               1
      ))),0),
    ROUND(
      CL22*IF(CL22*$I22&lt;=$L22,$J22,$I22)*
      IF($P22=1,
         $S22/12,
         IF(CL$4=1,
            $T22/12,
            IF(CL$4=$P22,
               $U22/12,
               1
      ))),0)
))))</f>
        <v>-</v>
      </c>
      <c r="CN22" s="56" t="str">
        <f ca="1">IF($H22=リスト!$AA$4,"-",
   IF($C22="-","-",
     IF(CN$4&gt;$P22,"-",
       IF(CN$4=1,$E22,OFFSET(CN22,0,-2)-OFFSET(CN22,0,-1)
))))</f>
        <v>-</v>
      </c>
      <c r="CO22" s="57" t="str">
        <f>IF($H22=リスト!$AA$4,"-",
 IF($C22="-","-",
  IF(CN$4&gt;$P22,"-",
   CHOOSE(MATCH($H$3,リスト!$AE$3:$AE$5,0),
    ROUNDUP(
      CN22*IF(CN22*$I22&lt;=$L22,$J22,$I22)*
      IF($P22=1,
         $S22/12,
         IF(CN$4=1,
            $T22/12,
            IF(CN$4=$P22,
               $U22/12,
               1
      ))),0),
    ROUNDDOWN(
      CN22*IF(CN22*$I22&lt;=$L22,$J22,$I22)*
      IF($P22=1,
         $S22/12,
         IF(CN$4=1,
            $T22/12,
            IF(CN$4=$P22,
               $U22/12,
               1
      ))),0),
    ROUND(
      CN22*IF(CN22*$I22&lt;=$L22,$J22,$I22)*
      IF($P22=1,
         $S22/12,
         IF(CN$4=1,
            $T22/12,
            IF(CN$4=$P22,
               $U22/12,
               1
      ))),0)
))))</f>
        <v>-</v>
      </c>
      <c r="CP22" s="56" t="str">
        <f ca="1">IF($H22=リスト!$AA$4,"-",
   IF($C22="-","-",
     IF(CP$4&gt;$P22,"-",
       IF(CP$4=1,$E22,OFFSET(CP22,0,-2)-OFFSET(CP22,0,-1)
))))</f>
        <v>-</v>
      </c>
      <c r="CQ22" s="57" t="str">
        <f>IF($H22=リスト!$AA$4,"-",
 IF($C22="-","-",
  IF(CP$4&gt;$P22,"-",
   CHOOSE(MATCH($H$3,リスト!$AE$3:$AE$5,0),
    ROUNDUP(
      CP22*IF(CP22*$I22&lt;=$L22,$J22,$I22)*
      IF($P22=1,
         $S22/12,
         IF(CP$4=1,
            $T22/12,
            IF(CP$4=$P22,
               $U22/12,
               1
      ))),0),
    ROUNDDOWN(
      CP22*IF(CP22*$I22&lt;=$L22,$J22,$I22)*
      IF($P22=1,
         $S22/12,
         IF(CP$4=1,
            $T22/12,
            IF(CP$4=$P22,
               $U22/12,
               1
      ))),0),
    ROUND(
      CP22*IF(CP22*$I22&lt;=$L22,$J22,$I22)*
      IF($P22=1,
         $S22/12,
         IF(CP$4=1,
            $T22/12,
            IF(CP$4=$P22,
               $U22/12,
               1
      ))),0)
))))</f>
        <v>-</v>
      </c>
      <c r="CR22" s="56" t="str">
        <f ca="1">IF($H22=リスト!$AA$4,"-",
   IF($C22="-","-",
     IF(CR$4&gt;$P22,"-",
       IF(CR$4=1,$E22,OFFSET(CR22,0,-2)-OFFSET(CR22,0,-1)
))))</f>
        <v>-</v>
      </c>
      <c r="CS22" s="57" t="str">
        <f>IF($H22=リスト!$AA$4,"-",
 IF($C22="-","-",
  IF(CR$4&gt;$P22,"-",
   CHOOSE(MATCH($H$3,リスト!$AE$3:$AE$5,0),
    ROUNDUP(
      CR22*IF(CR22*$I22&lt;=$L22,$J22,$I22)*
      IF($P22=1,
         $S22/12,
         IF(CR$4=1,
            $T22/12,
            IF(CR$4=$P22,
               $U22/12,
               1
      ))),0),
    ROUNDDOWN(
      CR22*IF(CR22*$I22&lt;=$L22,$J22,$I22)*
      IF($P22=1,
         $S22/12,
         IF(CR$4=1,
            $T22/12,
            IF(CR$4=$P22,
               $U22/12,
               1
      ))),0),
    ROUND(
      CR22*IF(CR22*$I22&lt;=$L22,$J22,$I22)*
      IF($P22=1,
         $S22/12,
         IF(CR$4=1,
            $T22/12,
            IF(CR$4=$P22,
               $U22/12,
               1
      ))),0)
))))</f>
        <v>-</v>
      </c>
      <c r="CT22" s="56" t="str">
        <f ca="1">IF($H22=リスト!$AA$4,"-",
   IF($C22="-","-",
     IF(CT$4&gt;$P22,"-",
       IF(CT$4=1,$E22,OFFSET(CT22,0,-2)-OFFSET(CT22,0,-1)
))))</f>
        <v>-</v>
      </c>
      <c r="CU22" s="57" t="str">
        <f>IF($H22=リスト!$AA$4,"-",
 IF($C22="-","-",
  IF(CT$4&gt;$P22,"-",
   CHOOSE(MATCH($H$3,リスト!$AE$3:$AE$5,0),
    ROUNDUP(
      CT22*IF(CT22*$I22&lt;=$L22,$J22,$I22)*
      IF($P22=1,
         $S22/12,
         IF(CT$4=1,
            $T22/12,
            IF(CT$4=$P22,
               $U22/12,
               1
      ))),0),
    ROUNDDOWN(
      CT22*IF(CT22*$I22&lt;=$L22,$J22,$I22)*
      IF($P22=1,
         $S22/12,
         IF(CT$4=1,
            $T22/12,
            IF(CT$4=$P22,
               $U22/12,
               1
      ))),0),
    ROUND(
      CT22*IF(CT22*$I22&lt;=$L22,$J22,$I22)*
      IF($P22=1,
         $S22/12,
         IF(CT$4=1,
            $T22/12,
            IF(CT$4=$P22,
               $U22/12,
               1
      ))),0)
))))</f>
        <v>-</v>
      </c>
      <c r="CV22" s="56" t="str">
        <f ca="1">IF($H22=リスト!$AA$4,"-",
   IF($C22="-","-",
     IF(CV$4&gt;$P22,"-",
       IF(CV$4=1,$E22,OFFSET(CV22,0,-2)-OFFSET(CV22,0,-1)
))))</f>
        <v>-</v>
      </c>
      <c r="CW22" s="57" t="str">
        <f>IF($H22=リスト!$AA$4,"-",
 IF($C22="-","-",
  IF(CV$4&gt;$P22,"-",
   CHOOSE(MATCH($H$3,リスト!$AE$3:$AE$5,0),
    ROUNDUP(
      CV22*IF(CV22*$I22&lt;=$L22,$J22,$I22)*
      IF($P22=1,
         $S22/12,
         IF(CV$4=1,
            $T22/12,
            IF(CV$4=$P22,
               $U22/12,
               1
      ))),0),
    ROUNDDOWN(
      CV22*IF(CV22*$I22&lt;=$L22,$J22,$I22)*
      IF($P22=1,
         $S22/12,
         IF(CV$4=1,
            $T22/12,
            IF(CV$4=$P22,
               $U22/12,
               1
      ))),0),
    ROUND(
      CV22*IF(CV22*$I22&lt;=$L22,$J22,$I22)*
      IF($P22=1,
         $S22/12,
         IF(CV$4=1,
            $T22/12,
            IF(CV$4=$P22,
               $U22/12,
               1
      ))),0)
))))</f>
        <v>-</v>
      </c>
      <c r="CX22" s="56" t="str">
        <f ca="1">IF($H22=リスト!$AA$4,"-",
   IF($C22="-","-",
     IF(CX$4&gt;$P22,"-",
       IF(CX$4=1,$E22,OFFSET(CX22,0,-2)-OFFSET(CX22,0,-1)
))))</f>
        <v>-</v>
      </c>
      <c r="CY22" s="57" t="str">
        <f>IF($H22=リスト!$AA$4,"-",
 IF($C22="-","-",
  IF(CX$4&gt;$P22,"-",
   CHOOSE(MATCH($H$3,リスト!$AE$3:$AE$5,0),
    ROUNDUP(
      CX22*IF(CX22*$I22&lt;=$L22,$J22,$I22)*
      IF($P22=1,
         $S22/12,
         IF(CX$4=1,
            $T22/12,
            IF(CX$4=$P22,
               $U22/12,
               1
      ))),0),
    ROUNDDOWN(
      CX22*IF(CX22*$I22&lt;=$L22,$J22,$I22)*
      IF($P22=1,
         $S22/12,
         IF(CX$4=1,
            $T22/12,
            IF(CX$4=$P22,
               $U22/12,
               1
      ))),0),
    ROUND(
      CX22*IF(CX22*$I22&lt;=$L22,$J22,$I22)*
      IF($P22=1,
         $S22/12,
         IF(CX$4=1,
            $T22/12,
            IF(CX$4=$P22,
               $U22/12,
               1
      ))),0)
))))</f>
        <v>-</v>
      </c>
      <c r="CZ22" s="56" t="str">
        <f ca="1">IF($H22=リスト!$AA$4,"-",
   IF($C22="-","-",
     IF(CZ$4&gt;$P22,"-",
       IF(CZ$4=1,$E22,OFFSET(CZ22,0,-2)-OFFSET(CZ22,0,-1)
))))</f>
        <v>-</v>
      </c>
      <c r="DA22" s="57" t="str">
        <f>IF($H22=リスト!$AA$4,"-",
 IF($C22="-","-",
  IF(CZ$4&gt;$P22,"-",
   CHOOSE(MATCH($H$3,リスト!$AE$3:$AE$5,0),
    ROUNDUP(
      CZ22*IF(CZ22*$I22&lt;=$L22,$J22,$I22)*
      IF($P22=1,
         $S22/12,
         IF(CZ$4=1,
            $T22/12,
            IF(CZ$4=$P22,
               $U22/12,
               1
      ))),0),
    ROUNDDOWN(
      CZ22*IF(CZ22*$I22&lt;=$L22,$J22,$I22)*
      IF($P22=1,
         $S22/12,
         IF(CZ$4=1,
            $T22/12,
            IF(CZ$4=$P22,
               $U22/12,
               1
      ))),0),
    ROUND(
      CZ22*IF(CZ22*$I22&lt;=$L22,$J22,$I22)*
      IF($P22=1,
         $S22/12,
         IF(CZ$4=1,
            $T22/12,
            IF(CZ$4=$P22,
               $U22/12,
               1
      ))),0)
))))</f>
        <v>-</v>
      </c>
      <c r="DB22" s="56" t="str">
        <f ca="1">IF($H22=リスト!$AA$4,"-",
   IF($C22="-","-",
     IF(DB$4&gt;$P22,"-",
       IF(DB$4=1,$E22,OFFSET(DB22,0,-2)-OFFSET(DB22,0,-1)
))))</f>
        <v>-</v>
      </c>
      <c r="DC22" s="57" t="str">
        <f>IF($H22=リスト!$AA$4,"-",
 IF($C22="-","-",
  IF(DB$4&gt;$P22,"-",
   CHOOSE(MATCH($H$3,リスト!$AE$3:$AE$5,0),
    ROUNDUP(
      DB22*IF(DB22*$I22&lt;=$L22,$J22,$I22)*
      IF($P22=1,
         $S22/12,
         IF(DB$4=1,
            $T22/12,
            IF(DB$4=$P22,
               $U22/12,
               1
      ))),0),
    ROUNDDOWN(
      DB22*IF(DB22*$I22&lt;=$L22,$J22,$I22)*
      IF($P22=1,
         $S22/12,
         IF(DB$4=1,
            $T22/12,
            IF(DB$4=$P22,
               $U22/12,
               1
      ))),0),
    ROUND(
      DB22*IF(DB22*$I22&lt;=$L22,$J22,$I22)*
      IF($P22=1,
         $S22/12,
         IF(DB$4=1,
            $T22/12,
            IF(DB$4=$P22,
               $U22/12,
               1
      ))),0)
))))</f>
        <v>-</v>
      </c>
      <c r="DD22" s="56" t="str">
        <f ca="1">IF($H22=リスト!$AA$4,"-",
   IF($C22="-","-",
     IF(DD$4&gt;$P22,"-",
       IF(DD$4=1,$E22,OFFSET(DD22,0,-2)-OFFSET(DD22,0,-1)
))))</f>
        <v>-</v>
      </c>
      <c r="DE22" s="57" t="str">
        <f>IF($H22=リスト!$AA$4,"-",
 IF($C22="-","-",
  IF(DD$4&gt;$P22,"-",
   CHOOSE(MATCH($H$3,リスト!$AE$3:$AE$5,0),
    ROUNDUP(
      DD22*IF(DD22*$I22&lt;=$L22,$J22,$I22)*
      IF($P22=1,
         $S22/12,
         IF(DD$4=1,
            $T22/12,
            IF(DD$4=$P22,
               $U22/12,
               1
      ))),0),
    ROUNDDOWN(
      DD22*IF(DD22*$I22&lt;=$L22,$J22,$I22)*
      IF($P22=1,
         $S22/12,
         IF(DD$4=1,
            $T22/12,
            IF(DD$4=$P22,
               $U22/12,
               1
      ))),0),
    ROUND(
      DD22*IF(DD22*$I22&lt;=$L22,$J22,$I22)*
      IF($P22=1,
         $S22/12,
         IF(DD$4=1,
            $T22/12,
            IF(DD$4=$P22,
               $U22/12,
               1
      ))),0)
))))</f>
        <v>-</v>
      </c>
      <c r="DF22" s="56" t="str">
        <f ca="1">IF($H22=リスト!$AA$4,"-",
   IF($C22="-","-",
     IF(DF$4&gt;$P22,"-",
       IF(DF$4=1,$E22,OFFSET(DF22,0,-2)-OFFSET(DF22,0,-1)
))))</f>
        <v>-</v>
      </c>
      <c r="DG22" s="57" t="str">
        <f>IF($H22=リスト!$AA$4,"-",
 IF($C22="-","-",
  IF(DF$4&gt;$P22,"-",
   CHOOSE(MATCH($H$3,リスト!$AE$3:$AE$5,0),
    ROUNDUP(
      DF22*IF(DF22*$I22&lt;=$L22,$J22,$I22)*
      IF($P22=1,
         $S22/12,
         IF(DF$4=1,
            $T22/12,
            IF(DF$4=$P22,
               $U22/12,
               1
      ))),0),
    ROUNDDOWN(
      DF22*IF(DF22*$I22&lt;=$L22,$J22,$I22)*
      IF($P22=1,
         $S22/12,
         IF(DF$4=1,
            $T22/12,
            IF(DF$4=$P22,
               $U22/12,
               1
      ))),0),
    ROUND(
      DF22*IF(DF22*$I22&lt;=$L22,$J22,$I22)*
      IF($P22=1,
         $S22/12,
         IF(DF$4=1,
            $T22/12,
            IF(DF$4=$P22,
               $U22/12,
               1
      ))),0)
))))</f>
        <v>-</v>
      </c>
      <c r="DH22" s="56" t="str">
        <f ca="1">IF($H22=リスト!$AA$4,"-",
   IF($C22="-","-",
     IF(DH$4&gt;$P22,"-",
       IF(DH$4=1,$E22,OFFSET(DH22,0,-2)-OFFSET(DH22,0,-1)
))))</f>
        <v>-</v>
      </c>
      <c r="DI22" s="57" t="str">
        <f>IF($H22=リスト!$AA$4,"-",
 IF($C22="-","-",
  IF(DH$4&gt;$P22,"-",
   CHOOSE(MATCH($H$3,リスト!$AE$3:$AE$5,0),
    ROUNDUP(
      DH22*IF(DH22*$I22&lt;=$L22,$J22,$I22)*
      IF($P22=1,
         $S22/12,
         IF(DH$4=1,
            $T22/12,
            IF(DH$4=$P22,
               $U22/12,
               1
      ))),0),
    ROUNDDOWN(
      DH22*IF(DH22*$I22&lt;=$L22,$J22,$I22)*
      IF($P22=1,
         $S22/12,
         IF(DH$4=1,
            $T22/12,
            IF(DH$4=$P22,
               $U22/12,
               1
      ))),0),
    ROUND(
      DH22*IF(DH22*$I22&lt;=$L22,$J22,$I22)*
      IF($P22=1,
         $S22/12,
         IF(DH$4=1,
            $T22/12,
            IF(DH$4=$P22,
               $U22/12,
               1
      ))),0)
))))</f>
        <v>-</v>
      </c>
      <c r="DJ22" s="56" t="str">
        <f ca="1">IF($H22=リスト!$AA$4,"-",
   IF($C22="-","-",
     IF(DJ$4&gt;$P22,"-",
       IF(DJ$4=1,$E22,OFFSET(DJ22,0,-2)-OFFSET(DJ22,0,-1)
))))</f>
        <v>-</v>
      </c>
      <c r="DK22" s="57" t="str">
        <f>IF($H22=リスト!$AA$4,"-",
 IF($C22="-","-",
  IF(DJ$4&gt;$P22,"-",
   CHOOSE(MATCH($H$3,リスト!$AE$3:$AE$5,0),
    ROUNDUP(
      DJ22*IF(DJ22*$I22&lt;=$L22,$J22,$I22)*
      IF($P22=1,
         $S22/12,
         IF(DJ$4=1,
            $T22/12,
            IF(DJ$4=$P22,
               $U22/12,
               1
      ))),0),
    ROUNDDOWN(
      DJ22*IF(DJ22*$I22&lt;=$L22,$J22,$I22)*
      IF($P22=1,
         $S22/12,
         IF(DJ$4=1,
            $T22/12,
            IF(DJ$4=$P22,
               $U22/12,
               1
      ))),0),
    ROUND(
      DJ22*IF(DJ22*$I22&lt;=$L22,$J22,$I22)*
      IF($P22=1,
         $S22/12,
         IF(DJ$4=1,
            $T22/12,
            IF(DJ$4=$P22,
               $U22/12,
               1
      ))),0)
))))</f>
        <v>-</v>
      </c>
      <c r="DL22" s="56" t="str">
        <f ca="1">IF($H22=リスト!$AA$4,"-",
   IF($C22="-","-",
     IF(DL$4&gt;$P22,"-",
       IF(DL$4=1,$E22,OFFSET(DL22,0,-2)-OFFSET(DL22,0,-1)
))))</f>
        <v>-</v>
      </c>
      <c r="DM22" s="57" t="str">
        <f>IF($H22=リスト!$AA$4,"-",
 IF($C22="-","-",
  IF(DL$4&gt;$P22,"-",
   CHOOSE(MATCH($H$3,リスト!$AE$3:$AE$5,0),
    ROUNDUP(
      DL22*IF(DL22*$I22&lt;=$L22,$J22,$I22)*
      IF($P22=1,
         $S22/12,
         IF(DL$4=1,
            $T22/12,
            IF(DL$4=$P22,
               $U22/12,
               1
      ))),0),
    ROUNDDOWN(
      DL22*IF(DL22*$I22&lt;=$L22,$J22,$I22)*
      IF($P22=1,
         $S22/12,
         IF(DL$4=1,
            $T22/12,
            IF(DL$4=$P22,
               $U22/12,
               1
      ))),0),
    ROUND(
      DL22*IF(DL22*$I22&lt;=$L22,$J22,$I22)*
      IF($P22=1,
         $S22/12,
         IF(DL$4=1,
            $T22/12,
            IF(DL$4=$P22,
               $U22/12,
               1
      ))),0)
))))</f>
        <v>-</v>
      </c>
      <c r="DN22" s="56" t="str">
        <f ca="1">IF($H22=リスト!$AA$4,"-",
   IF($C22="-","-",
     IF(DN$4&gt;$P22,"-",
       IF(DN$4=1,$E22,OFFSET(DN22,0,-2)-OFFSET(DN22,0,-1)
))))</f>
        <v>-</v>
      </c>
      <c r="DO22" s="57" t="str">
        <f>IF($H22=リスト!$AA$4,"-",
 IF($C22="-","-",
  IF(DN$4&gt;$P22,"-",
   CHOOSE(MATCH($H$3,リスト!$AE$3:$AE$5,0),
    ROUNDUP(
      DN22*IF(DN22*$I22&lt;=$L22,$J22,$I22)*
      IF($P22=1,
         $S22/12,
         IF(DN$4=1,
            $T22/12,
            IF(DN$4=$P22,
               $U22/12,
               1
      ))),0),
    ROUNDDOWN(
      DN22*IF(DN22*$I22&lt;=$L22,$J22,$I22)*
      IF($P22=1,
         $S22/12,
         IF(DN$4=1,
            $T22/12,
            IF(DN$4=$P22,
               $U22/12,
               1
      ))),0),
    ROUND(
      DN22*IF(DN22*$I22&lt;=$L22,$J22,$I22)*
      IF($P22=1,
         $S22/12,
         IF(DN$4=1,
            $T22/12,
            IF(DN$4=$P22,
               $U22/12,
               1
      ))),0)
))))</f>
        <v>-</v>
      </c>
      <c r="DP22" s="56" t="str">
        <f ca="1">IF($H22=リスト!$AA$4,"-",
   IF($C22="-","-",
     IF(DP$4&gt;$P22,"-",
       IF(DP$4=1,$E22,OFFSET(DP22,0,-2)-OFFSET(DP22,0,-1)
))))</f>
        <v>-</v>
      </c>
      <c r="DQ22" s="57" t="str">
        <f>IF($H22=リスト!$AA$4,"-",
 IF($C22="-","-",
  IF(DP$4&gt;$P22,"-",
   CHOOSE(MATCH($H$3,リスト!$AE$3:$AE$5,0),
    ROUNDUP(
      DP22*IF(DP22*$I22&lt;=$L22,$J22,$I22)*
      IF($P22=1,
         $S22/12,
         IF(DP$4=1,
            $T22/12,
            IF(DP$4=$P22,
               $U22/12,
               1
      ))),0),
    ROUNDDOWN(
      DP22*IF(DP22*$I22&lt;=$L22,$J22,$I22)*
      IF($P22=1,
         $S22/12,
         IF(DP$4=1,
            $T22/12,
            IF(DP$4=$P22,
               $U22/12,
               1
      ))),0),
    ROUND(
      DP22*IF(DP22*$I22&lt;=$L22,$J22,$I22)*
      IF($P22=1,
         $S22/12,
         IF(DP$4=1,
            $T22/12,
            IF(DP$4=$P22,
               $U22/12,
               1
      ))),0)
))))</f>
        <v>-</v>
      </c>
      <c r="DR22" s="56" t="str">
        <f ca="1">IF($H22=リスト!$AA$4,"-",
   IF($C22="-","-",
     IF(DR$4&gt;$P22,"-",
       IF(DR$4=1,$E22,OFFSET(DR22,0,-2)-OFFSET(DR22,0,-1)
))))</f>
        <v>-</v>
      </c>
      <c r="DS22" s="57" t="str">
        <f>IF($H22=リスト!$AA$4,"-",
 IF($C22="-","-",
  IF(DR$4&gt;$P22,"-",
   CHOOSE(MATCH($H$3,リスト!$AE$3:$AE$5,0),
    ROUNDUP(
      DR22*IF(DR22*$I22&lt;=$L22,$J22,$I22)*
      IF($P22=1,
         ($G22-$F22+1)/$Q22,
         IF(DR$4=1,
            ($M22-$F22+1)/$Q22,
            IF(DR$4=$P22,
               ($G22-$O22+1)/$R22,
               1
      ))),0),
    ROUNDDOWN(
      DR22*IF(DR22*$I22&lt;=$L22,$J22,$I22)*
      IF($P22=1,
         ($G22-$F22+1)/$Q22,
         IF(DR$4=1,
            ($M22-$F22+1)/$Q22,
            IF(DR$4=$P22,
               ($G22-$O22+1)/$R22,
               1
      ))),0),
    ROUND(
      DR22*IF(DR22*$I22&lt;=$L22,$J22,$I22)*
      IF($P22=1,
         ($G22-$F22+1)/$Q22,
         IF(DR$4=1,
            ($M22-$F22+1)/$Q22,
            IF(DR$4=$P22,
               ($G22-$O22+1)/$R22,
               1
      ))),0)
))))</f>
        <v>-</v>
      </c>
      <c r="DT22" s="56" t="str" cm="1">
        <f t="array" ref="DT22">IF($H22&lt;&gt;リスト!$AA$3,"-",$E22-SUMPRODUCT(IFERROR($Y22:$DS22*1,0), --(MOD(COLUMN($Y22:$DS22)-COLUMN($Y22),2)=0)))</f>
        <v>-</v>
      </c>
      <c r="DU22" s="56" t="str">
        <f>IF($H22&lt;&gt;リスト!$AA$4,"-",
    IF($H$3=リスト!$AE$3,$E22-ROUNDUP($E22*I22*$W22/12,0),
    IF($H$3=リスト!$AE$4,$E22-ROUNDDOWN($E22*I22*$W22/12,0),
    IF($H$3=リスト!$AE$5,$E22-ROUND($E22*I22*$W22/12,0),
    "-"))))</f>
        <v>-</v>
      </c>
    </row>
    <row r="23" spans="2:125">
      <c r="B23" s="54">
        <v>18</v>
      </c>
      <c r="C23" s="55" t="str">
        <f>IF('財産処分報告(災害)用'!$C23="","-",'財産処分報告(災害)用'!$C23)</f>
        <v>-</v>
      </c>
      <c r="D23" s="55" t="str">
        <f>'財産処分報告(災害)用'!$E23</f>
        <v>-</v>
      </c>
      <c r="E23" s="56" t="str">
        <f>IF('財産処分報告(災害)用'!$J23="","-",'財産処分報告(災害)用'!$J23)</f>
        <v>-</v>
      </c>
      <c r="F23" s="101" t="str">
        <f>IF('財産処分報告(災害)用'!$K23="","-",'財産処分報告(災害)用'!$K23)</f>
        <v>-</v>
      </c>
      <c r="G23" s="101" t="str">
        <f>IF('財産処分報告(災害)用'!$L23="","-",'財産処分報告(災害)用'!$L23)</f>
        <v>-</v>
      </c>
      <c r="H23" s="55" t="str">
        <f>IF('財産処分報告(災害)用'!$M23="","-",'財産処分報告(災害)用'!$M23)</f>
        <v>-</v>
      </c>
      <c r="I23" s="55" t="str">
        <f>IF(OR($D23="-",$H23="-"),"-",INDEX(リスト!$AG$2:$AI$101,MATCH($D23,リスト!$AG$2:$AG$101,0),MATCH($H23,リスト!$AG$2:$AI$2,0)))</f>
        <v>-</v>
      </c>
      <c r="J23" s="55" t="str">
        <f>IF(OR($D23="-",$H23="-"),"-",IF($H23=リスト!$AA$4,"-",INDEX(リスト!$AG$2:$AK$101,MATCH($D23,リスト!$AG$2:$AG$101,0),4)))</f>
        <v>-</v>
      </c>
      <c r="K23" s="55" t="str">
        <f>IF(OR($D23="-",$H23="-"),"-",IF($H23=リスト!$AA$4,"-",INDEX(リスト!$AG$2:$AK$101,MATCH($D23,リスト!$AG$2:$AG$101,0),5)))</f>
        <v>-</v>
      </c>
      <c r="L23" s="55" t="str">
        <f t="shared" si="0"/>
        <v>-</v>
      </c>
      <c r="M23" s="101" t="str">
        <f t="shared" si="1"/>
        <v>-</v>
      </c>
      <c r="N23" s="101" t="str">
        <f t="shared" si="2"/>
        <v>-</v>
      </c>
      <c r="O23" s="101" t="str">
        <f t="shared" si="3"/>
        <v>-</v>
      </c>
      <c r="P23" s="102" t="str">
        <f t="shared" si="4"/>
        <v>-</v>
      </c>
      <c r="Q23" s="115" t="str">
        <f t="shared" si="5"/>
        <v>-</v>
      </c>
      <c r="R23" s="116" t="str">
        <f t="shared" si="6"/>
        <v>-</v>
      </c>
      <c r="S23" s="102" t="str">
        <f t="shared" si="7"/>
        <v>-</v>
      </c>
      <c r="T23" s="102" t="str">
        <f t="shared" si="8"/>
        <v>-</v>
      </c>
      <c r="U23" s="102" t="str">
        <f t="shared" si="9"/>
        <v>-</v>
      </c>
      <c r="V23" s="102" t="str">
        <f t="shared" si="10"/>
        <v>-</v>
      </c>
      <c r="W23" s="55" t="str">
        <f t="shared" si="11"/>
        <v>-</v>
      </c>
      <c r="X23" s="56" t="str">
        <f ca="1">IF($H23=リスト!$AA$4,"-",
   IF($C23="-","-",
     IF(X$4&gt;$P23,"-",
       IF(X$4=1,$E23,OFFSET(X23,0,-2)-OFFSET(X23,0,-1)
))))</f>
        <v>-</v>
      </c>
      <c r="Y23" s="57" t="str">
        <f>IF($H23=リスト!$AA$4,"-",
 IF($C23="-","-",
  IF(X$4&gt;$P23,"-",
   CHOOSE(MATCH($H$3,リスト!$AE$3:$AE$5,0),
    ROUNDUP(
      X23*IF(X23*$I23&lt;=$L23,$J23,$I23)*
      IF($P23=1,
         $S23/12,
         IF(X$4=1,
            $T23/12,
            IF(X$4=$P23,
               $U23/12,
               1
      ))),0),
    ROUNDDOWN(
      X23*IF(X23*$I23&lt;=$L23,$J23,$I23)*
      IF($P23=1,
         $S23/12,
         IF(X$4=1,
            $T23/12,
            IF(X$4=$P23,
               $U23/12,
               1
      ))),0),
    ROUND(
      X23*IF(X23*$I23&lt;=$L23,$J23,$I23)*
      IF($P23=1,
         $S23/12,
         IF(X$4=1,
            $T23/12,
            IF(X$4=$P23,
               $U23/12,
               1
      ))),0)
))))</f>
        <v>-</v>
      </c>
      <c r="Z23" s="56" t="str">
        <f ca="1">IF($H23=リスト!$AA$4,"-",
   IF($C23="-","-",
     IF(Z$4&gt;$P23,"-",
       IF(Z$4=1,$E23,OFFSET(Z23,0,-2)-OFFSET(Z23,0,-1)
))))</f>
        <v>-</v>
      </c>
      <c r="AA23" s="57" t="str">
        <f>IF($H23=リスト!$AA$4,"-",
 IF($C23="-","-",
  IF(Z$4&gt;$P23,"-",
   CHOOSE(MATCH($H$3,リスト!$AE$3:$AE$5,0),
    ROUNDUP(
      Z23*IF(Z23*$I23&lt;=$L23,$J23,$I23)*
      IF($P23=1,
         $S23/12,
         IF(Z$4=1,
            $T23/12,
            IF(Z$4=$P23,
               $U23/12,
               1
      ))),0),
    ROUNDDOWN(
      Z23*IF(Z23*$I23&lt;=$L23,$J23,$I23)*
      IF($P23=1,
         $S23/12,
         IF(Z$4=1,
            $T23/12,
            IF(Z$4=$P23,
               $U23/12,
               1
      ))),0),
    ROUND(
      Z23*IF(Z23*$I23&lt;=$L23,$J23,$I23)*
      IF($P23=1,
         $S23/12,
         IF(Z$4=1,
            $T23/12,
            IF(Z$4=$P23,
               $U23/12,
               1
      ))),0)
))))</f>
        <v>-</v>
      </c>
      <c r="AB23" s="56" t="str">
        <f ca="1">IF($H23=リスト!$AA$4,"-",
   IF($C23="-","-",
     IF(AB$4&gt;$P23,"-",
       IF(AB$4=1,$E23,OFFSET(AB23,0,-2)-OFFSET(AB23,0,-1)
))))</f>
        <v>-</v>
      </c>
      <c r="AC23" s="57" t="str">
        <f>IF($H23=リスト!$AA$4,"-",
 IF($C23="-","-",
  IF(AB$4&gt;$P23,"-",
   CHOOSE(MATCH($H$3,リスト!$AE$3:$AE$5,0),
    ROUNDUP(
      AB23*IF(AB23*$I23&lt;=$L23,$J23,$I23)*
      IF($P23=1,
         $S23/12,
         IF(AB$4=1,
            $T23/12,
            IF(AB$4=$P23,
               $U23/12,
               1
      ))),0),
    ROUNDDOWN(
      AB23*IF(AB23*$I23&lt;=$L23,$J23,$I23)*
      IF($P23=1,
         $S23/12,
         IF(AB$4=1,
            $T23/12,
            IF(AB$4=$P23,
               $U23/12,
               1
      ))),0),
    ROUND(
      AB23*IF(AB23*$I23&lt;=$L23,$J23,$I23)*
      IF($P23=1,
         $S23/12,
         IF(AB$4=1,
            $T23/12,
            IF(AB$4=$P23,
               $U23/12,
               1
      ))),0)
))))</f>
        <v>-</v>
      </c>
      <c r="AD23" s="56" t="str">
        <f ca="1">IF($H23=リスト!$AA$4,"-",
   IF($C23="-","-",
     IF(AD$4&gt;$P23,"-",
       IF(AD$4=1,$E23,OFFSET(AD23,0,-2)-OFFSET(AD23,0,-1)
))))</f>
        <v>-</v>
      </c>
      <c r="AE23" s="57" t="str">
        <f>IF($H23=リスト!$AA$4,"-",
 IF($C23="-","-",
  IF(AD$4&gt;$P23,"-",
   CHOOSE(MATCH($H$3,リスト!$AE$3:$AE$5,0),
    ROUNDUP(
      AD23*IF(AD23*$I23&lt;=$L23,$J23,$I23)*
      IF($P23=1,
         $S23/12,
         IF(AD$4=1,
            $T23/12,
            IF(AD$4=$P23,
               $U23/12,
               1
      ))),0),
    ROUNDDOWN(
      AD23*IF(AD23*$I23&lt;=$L23,$J23,$I23)*
      IF($P23=1,
         $S23/12,
         IF(AD$4=1,
            $T23/12,
            IF(AD$4=$P23,
               $U23/12,
               1
      ))),0),
    ROUND(
      AD23*IF(AD23*$I23&lt;=$L23,$J23,$I23)*
      IF($P23=1,
         $S23/12,
         IF(AD$4=1,
            $T23/12,
            IF(AD$4=$P23,
               $U23/12,
               1
      ))),0)
))))</f>
        <v>-</v>
      </c>
      <c r="AF23" s="56" t="str">
        <f ca="1">IF($H23=リスト!$AA$4,"-",
   IF($C23="-","-",
     IF(AF$4&gt;$P23,"-",
       IF(AF$4=1,$E23,OFFSET(AF23,0,-2)-OFFSET(AF23,0,-1)
))))</f>
        <v>-</v>
      </c>
      <c r="AG23" s="57" t="str">
        <f>IF($H23=リスト!$AA$4,"-",
 IF($C23="-","-",
  IF(AF$4&gt;$P23,"-",
   CHOOSE(MATCH($H$3,リスト!$AE$3:$AE$5,0),
    ROUNDUP(
      AF23*IF(AF23*$I23&lt;=$L23,$J23,$I23)*
      IF($P23=1,
         $S23/12,
         IF(AF$4=1,
            $T23/12,
            IF(AF$4=$P23,
               $U23/12,
               1
      ))),0),
    ROUNDDOWN(
      AF23*IF(AF23*$I23&lt;=$L23,$J23,$I23)*
      IF($P23=1,
         $S23/12,
         IF(AF$4=1,
            $T23/12,
            IF(AF$4=$P23,
               $U23/12,
               1
      ))),0),
    ROUND(
      AF23*IF(AF23*$I23&lt;=$L23,$J23,$I23)*
      IF($P23=1,
         $S23/12,
         IF(AF$4=1,
            $T23/12,
            IF(AF$4=$P23,
               $U23/12,
               1
      ))),0)
))))</f>
        <v>-</v>
      </c>
      <c r="AH23" s="56" t="str">
        <f ca="1">IF($H23=リスト!$AA$4,"-",
   IF($C23="-","-",
     IF(AH$4&gt;$P23,"-",
       IF(AH$4=1,$E23,OFFSET(AH23,0,-2)-OFFSET(AH23,0,-1)
))))</f>
        <v>-</v>
      </c>
      <c r="AI23" s="57" t="str">
        <f>IF($H23=リスト!$AA$4,"-",
 IF($C23="-","-",
  IF(AH$4&gt;$P23,"-",
   CHOOSE(MATCH($H$3,リスト!$AE$3:$AE$5,0),
    ROUNDUP(
      AH23*IF(AH23*$I23&lt;=$L23,$J23,$I23)*
      IF($P23=1,
         $S23/12,
         IF(AH$4=1,
            $T23/12,
            IF(AH$4=$P23,
               $U23/12,
               1
      ))),0),
    ROUNDDOWN(
      AH23*IF(AH23*$I23&lt;=$L23,$J23,$I23)*
      IF($P23=1,
         $S23/12,
         IF(AH$4=1,
            $T23/12,
            IF(AH$4=$P23,
               $U23/12,
               1
      ))),0),
    ROUND(
      AH23*IF(AH23*$I23&lt;=$L23,$J23,$I23)*
      IF($P23=1,
         $S23/12,
         IF(AH$4=1,
            $T23/12,
            IF(AH$4=$P23,
               $U23/12,
               1
      ))),0)
))))</f>
        <v>-</v>
      </c>
      <c r="AJ23" s="56" t="str">
        <f ca="1">IF($H23=リスト!$AA$4,"-",
   IF($C23="-","-",
     IF(AJ$4&gt;$P23,"-",
       IF(AJ$4=1,$E23,OFFSET(AJ23,0,-2)-OFFSET(AJ23,0,-1)
))))</f>
        <v>-</v>
      </c>
      <c r="AK23" s="57" t="str">
        <f>IF($H23=リスト!$AA$4,"-",
 IF($C23="-","-",
  IF(AJ$4&gt;$P23,"-",
   CHOOSE(MATCH($H$3,リスト!$AE$3:$AE$5,0),
    ROUNDUP(
      AJ23*IF(AJ23*$I23&lt;=$L23,$J23,$I23)*
      IF($P23=1,
         $S23/12,
         IF(AJ$4=1,
            $T23/12,
            IF(AJ$4=$P23,
               $U23/12,
               1
      ))),0),
    ROUNDDOWN(
      AJ23*IF(AJ23*$I23&lt;=$L23,$J23,$I23)*
      IF($P23=1,
         $S23/12,
         IF(AJ$4=1,
            $T23/12,
            IF(AJ$4=$P23,
               $U23/12,
               1
      ))),0),
    ROUND(
      AJ23*IF(AJ23*$I23&lt;=$L23,$J23,$I23)*
      IF($P23=1,
         $S23/12,
         IF(AJ$4=1,
            $T23/12,
            IF(AJ$4=$P23,
               $U23/12,
               1
      ))),0)
))))</f>
        <v>-</v>
      </c>
      <c r="AL23" s="56" t="str">
        <f ca="1">IF($H23=リスト!$AA$4,"-",
   IF($C23="-","-",
     IF(AL$4&gt;$P23,"-",
       IF(AL$4=1,$E23,OFFSET(AL23,0,-2)-OFFSET(AL23,0,-1)
))))</f>
        <v>-</v>
      </c>
      <c r="AM23" s="57" t="str">
        <f>IF($H23=リスト!$AA$4,"-",
 IF($C23="-","-",
  IF(AL$4&gt;$P23,"-",
   CHOOSE(MATCH($H$3,リスト!$AE$3:$AE$5,0),
    ROUNDUP(
      AL23*IF(AL23*$I23&lt;=$L23,$J23,$I23)*
      IF($P23=1,
         $S23/12,
         IF(AL$4=1,
            $T23/12,
            IF(AL$4=$P23,
               $U23/12,
               1
      ))),0),
    ROUNDDOWN(
      AL23*IF(AL23*$I23&lt;=$L23,$J23,$I23)*
      IF($P23=1,
         $S23/12,
         IF(AL$4=1,
            $T23/12,
            IF(AL$4=$P23,
               $U23/12,
               1
      ))),0),
    ROUND(
      AL23*IF(AL23*$I23&lt;=$L23,$J23,$I23)*
      IF($P23=1,
         $S23/12,
         IF(AL$4=1,
            $T23/12,
            IF(AL$4=$P23,
               $U23/12,
               1
      ))),0)
))))</f>
        <v>-</v>
      </c>
      <c r="AN23" s="56" t="str">
        <f ca="1">IF($H23=リスト!$AA$4,"-",
   IF($C23="-","-",
     IF(AN$4&gt;$P23,"-",
       IF(AN$4=1,$E23,OFFSET(AN23,0,-2)-OFFSET(AN23,0,-1)
))))</f>
        <v>-</v>
      </c>
      <c r="AO23" s="57" t="str">
        <f>IF($H23=リスト!$AA$4,"-",
 IF($C23="-","-",
  IF(AN$4&gt;$P23,"-",
   CHOOSE(MATCH($H$3,リスト!$AE$3:$AE$5,0),
    ROUNDUP(
      AN23*IF(AN23*$I23&lt;=$L23,$J23,$I23)*
      IF($P23=1,
         $S23/12,
         IF(AN$4=1,
            $T23/12,
            IF(AN$4=$P23,
               $U23/12,
               1
      ))),0),
    ROUNDDOWN(
      AN23*IF(AN23*$I23&lt;=$L23,$J23,$I23)*
      IF($P23=1,
         $S23/12,
         IF(AN$4=1,
            $T23/12,
            IF(AN$4=$P23,
               $U23/12,
               1
      ))),0),
    ROUND(
      AN23*IF(AN23*$I23&lt;=$L23,$J23,$I23)*
      IF($P23=1,
         $S23/12,
         IF(AN$4=1,
            $T23/12,
            IF(AN$4=$P23,
               $U23/12,
               1
      ))),0)
))))</f>
        <v>-</v>
      </c>
      <c r="AP23" s="56" t="str">
        <f ca="1">IF($H23=リスト!$AA$4,"-",
   IF($C23="-","-",
     IF(AP$4&gt;$P23,"-",
       IF(AP$4=1,$E23,OFFSET(AP23,0,-2)-OFFSET(AP23,0,-1)
))))</f>
        <v>-</v>
      </c>
      <c r="AQ23" s="57" t="str">
        <f>IF($H23=リスト!$AA$4,"-",
 IF($C23="-","-",
  IF(AP$4&gt;$P23,"-",
   CHOOSE(MATCH($H$3,リスト!$AE$3:$AE$5,0),
    ROUNDUP(
      AP23*IF(AP23*$I23&lt;=$L23,$J23,$I23)*
      IF($P23=1,
         $S23/12,
         IF(AP$4=1,
            $T23/12,
            IF(AP$4=$P23,
               $U23/12,
               1
      ))),0),
    ROUNDDOWN(
      AP23*IF(AP23*$I23&lt;=$L23,$J23,$I23)*
      IF($P23=1,
         $S23/12,
         IF(AP$4=1,
            $T23/12,
            IF(AP$4=$P23,
               $U23/12,
               1
      ))),0),
    ROUND(
      AP23*IF(AP23*$I23&lt;=$L23,$J23,$I23)*
      IF($P23=1,
         $S23/12,
         IF(AP$4=1,
            $T23/12,
            IF(AP$4=$P23,
               $U23/12,
               1
      ))),0)
))))</f>
        <v>-</v>
      </c>
      <c r="AR23" s="56" t="str">
        <f ca="1">IF($H23=リスト!$AA$4,"-",
   IF($C23="-","-",
     IF(AR$4&gt;$P23,"-",
       IF(AR$4=1,$E23,OFFSET(AR23,0,-2)-OFFSET(AR23,0,-1)
))))</f>
        <v>-</v>
      </c>
      <c r="AS23" s="57" t="str">
        <f>IF($H23=リスト!$AA$4,"-",
 IF($C23="-","-",
  IF(AR$4&gt;$P23,"-",
   CHOOSE(MATCH($H$3,リスト!$AE$3:$AE$5,0),
    ROUNDUP(
      AR23*IF(AR23*$I23&lt;=$L23,$J23,$I23)*
      IF($P23=1,
         $S23/12,
         IF(AR$4=1,
            $T23/12,
            IF(AR$4=$P23,
               $U23/12,
               1
      ))),0),
    ROUNDDOWN(
      AR23*IF(AR23*$I23&lt;=$L23,$J23,$I23)*
      IF($P23=1,
         $S23/12,
         IF(AR$4=1,
            $T23/12,
            IF(AR$4=$P23,
               $U23/12,
               1
      ))),0),
    ROUND(
      AR23*IF(AR23*$I23&lt;=$L23,$J23,$I23)*
      IF($P23=1,
         $S23/12,
         IF(AR$4=1,
            $T23/12,
            IF(AR$4=$P23,
               $U23/12,
               1
      ))),0)
))))</f>
        <v>-</v>
      </c>
      <c r="AT23" s="56" t="str">
        <f ca="1">IF($H23=リスト!$AA$4,"-",
   IF($C23="-","-",
     IF(AT$4&gt;$P23,"-",
       IF(AT$4=1,$E23,OFFSET(AT23,0,-2)-OFFSET(AT23,0,-1)
))))</f>
        <v>-</v>
      </c>
      <c r="AU23" s="57" t="str">
        <f>IF($H23=リスト!$AA$4,"-",
 IF($C23="-","-",
  IF(AT$4&gt;$P23,"-",
   CHOOSE(MATCH($H$3,リスト!$AE$3:$AE$5,0),
    ROUNDUP(
      AT23*IF(AT23*$I23&lt;=$L23,$J23,$I23)*
      IF($P23=1,
         $S23/12,
         IF(AT$4=1,
            $T23/12,
            IF(AT$4=$P23,
               $U23/12,
               1
      ))),0),
    ROUNDDOWN(
      AT23*IF(AT23*$I23&lt;=$L23,$J23,$I23)*
      IF($P23=1,
         $S23/12,
         IF(AT$4=1,
            $T23/12,
            IF(AT$4=$P23,
               $U23/12,
               1
      ))),0),
    ROUND(
      AT23*IF(AT23*$I23&lt;=$L23,$J23,$I23)*
      IF($P23=1,
         $S23/12,
         IF(AT$4=1,
            $T23/12,
            IF(AT$4=$P23,
               $U23/12,
               1
      ))),0)
))))</f>
        <v>-</v>
      </c>
      <c r="AV23" s="56" t="str">
        <f ca="1">IF($H23=リスト!$AA$4,"-",
   IF($C23="-","-",
     IF(AV$4&gt;$P23,"-",
       IF(AV$4=1,$E23,OFFSET(AV23,0,-2)-OFFSET(AV23,0,-1)
))))</f>
        <v>-</v>
      </c>
      <c r="AW23" s="57" t="str">
        <f>IF($H23=リスト!$AA$4,"-",
 IF($C23="-","-",
  IF(AV$4&gt;$P23,"-",
   CHOOSE(MATCH($H$3,リスト!$AE$3:$AE$5,0),
    ROUNDUP(
      AV23*IF(AV23*$I23&lt;=$L23,$J23,$I23)*
      IF($P23=1,
         $S23/12,
         IF(AV$4=1,
            $T23/12,
            IF(AV$4=$P23,
               $U23/12,
               1
      ))),0),
    ROUNDDOWN(
      AV23*IF(AV23*$I23&lt;=$L23,$J23,$I23)*
      IF($P23=1,
         $S23/12,
         IF(AV$4=1,
            $T23/12,
            IF(AV$4=$P23,
               $U23/12,
               1
      ))),0),
    ROUND(
      AV23*IF(AV23*$I23&lt;=$L23,$J23,$I23)*
      IF($P23=1,
         $S23/12,
         IF(AV$4=1,
            $T23/12,
            IF(AV$4=$P23,
               $U23/12,
               1
      ))),0)
))))</f>
        <v>-</v>
      </c>
      <c r="AX23" s="56" t="str">
        <f ca="1">IF($H23=リスト!$AA$4,"-",
   IF($C23="-","-",
     IF(AX$4&gt;$P23,"-",
       IF(AX$4=1,$E23,OFFSET(AX23,0,-2)-OFFSET(AX23,0,-1)
))))</f>
        <v>-</v>
      </c>
      <c r="AY23" s="57" t="str">
        <f>IF($H23=リスト!$AA$4,"-",
 IF($C23="-","-",
  IF(AX$4&gt;$P23,"-",
   CHOOSE(MATCH($H$3,リスト!$AE$3:$AE$5,0),
    ROUNDUP(
      AX23*IF(AX23*$I23&lt;=$L23,$J23,$I23)*
      IF($P23=1,
         $S23/12,
         IF(AX$4=1,
            $T23/12,
            IF(AX$4=$P23,
               $U23/12,
               1
      ))),0),
    ROUNDDOWN(
      AX23*IF(AX23*$I23&lt;=$L23,$J23,$I23)*
      IF($P23=1,
         $S23/12,
         IF(AX$4=1,
            $T23/12,
            IF(AX$4=$P23,
               $U23/12,
               1
      ))),0),
    ROUND(
      AX23*IF(AX23*$I23&lt;=$L23,$J23,$I23)*
      IF($P23=1,
         $S23/12,
         IF(AX$4=1,
            $T23/12,
            IF(AX$4=$P23,
               $U23/12,
               1
      ))),0)
))))</f>
        <v>-</v>
      </c>
      <c r="AZ23" s="56" t="str">
        <f ca="1">IF($H23=リスト!$AA$4,"-",
   IF($C23="-","-",
     IF(AZ$4&gt;$P23,"-",
       IF(AZ$4=1,$E23,OFFSET(AZ23,0,-2)-OFFSET(AZ23,0,-1)
))))</f>
        <v>-</v>
      </c>
      <c r="BA23" s="57" t="str">
        <f>IF($H23=リスト!$AA$4,"-",
 IF($C23="-","-",
  IF(AZ$4&gt;$P23,"-",
   CHOOSE(MATCH($H$3,リスト!$AE$3:$AE$5,0),
    ROUNDUP(
      AZ23*IF(AZ23*$I23&lt;=$L23,$J23,$I23)*
      IF($P23=1,
         $S23/12,
         IF(AZ$4=1,
            $T23/12,
            IF(AZ$4=$P23,
               $U23/12,
               1
      ))),0),
    ROUNDDOWN(
      AZ23*IF(AZ23*$I23&lt;=$L23,$J23,$I23)*
      IF($P23=1,
         $S23/12,
         IF(AZ$4=1,
            $T23/12,
            IF(AZ$4=$P23,
               $U23/12,
               1
      ))),0),
    ROUND(
      AZ23*IF(AZ23*$I23&lt;=$L23,$J23,$I23)*
      IF($P23=1,
         $S23/12,
         IF(AZ$4=1,
            $T23/12,
            IF(AZ$4=$P23,
               $U23/12,
               1
      ))),0)
))))</f>
        <v>-</v>
      </c>
      <c r="BB23" s="56" t="str">
        <f ca="1">IF($H23=リスト!$AA$4,"-",
   IF($C23="-","-",
     IF(BB$4&gt;$P23,"-",
       IF(BB$4=1,$E23,OFFSET(BB23,0,-2)-OFFSET(BB23,0,-1)
))))</f>
        <v>-</v>
      </c>
      <c r="BC23" s="57" t="str">
        <f>IF($H23=リスト!$AA$4,"-",
 IF($C23="-","-",
  IF(BB$4&gt;$P23,"-",
   CHOOSE(MATCH($H$3,リスト!$AE$3:$AE$5,0),
    ROUNDUP(
      BB23*IF(BB23*$I23&lt;=$L23,$J23,$I23)*
      IF($P23=1,
         $S23/12,
         IF(BB$4=1,
            $T23/12,
            IF(BB$4=$P23,
               $U23/12,
               1
      ))),0),
    ROUNDDOWN(
      BB23*IF(BB23*$I23&lt;=$L23,$J23,$I23)*
      IF($P23=1,
         $S23/12,
         IF(BB$4=1,
            $T23/12,
            IF(BB$4=$P23,
               $U23/12,
               1
      ))),0),
    ROUND(
      BB23*IF(BB23*$I23&lt;=$L23,$J23,$I23)*
      IF($P23=1,
         $S23/12,
         IF(BB$4=1,
            $T23/12,
            IF(BB$4=$P23,
               $U23/12,
               1
      ))),0)
))))</f>
        <v>-</v>
      </c>
      <c r="BD23" s="56" t="str">
        <f ca="1">IF($H23=リスト!$AA$4,"-",
   IF($C23="-","-",
     IF(BD$4&gt;$P23,"-",
       IF(BD$4=1,$E23,OFFSET(BD23,0,-2)-OFFSET(BD23,0,-1)
))))</f>
        <v>-</v>
      </c>
      <c r="BE23" s="57" t="str">
        <f>IF($H23=リスト!$AA$4,"-",
 IF($C23="-","-",
  IF(BD$4&gt;$P23,"-",
   CHOOSE(MATCH($H$3,リスト!$AE$3:$AE$5,0),
    ROUNDUP(
      BD23*IF(BD23*$I23&lt;=$L23,$J23,$I23)*
      IF($P23=1,
         $S23/12,
         IF(BD$4=1,
            $T23/12,
            IF(BD$4=$P23,
               $U23/12,
               1
      ))),0),
    ROUNDDOWN(
      BD23*IF(BD23*$I23&lt;=$L23,$J23,$I23)*
      IF($P23=1,
         $S23/12,
         IF(BD$4=1,
            $T23/12,
            IF(BD$4=$P23,
               $U23/12,
               1
      ))),0),
    ROUND(
      BD23*IF(BD23*$I23&lt;=$L23,$J23,$I23)*
      IF($P23=1,
         $S23/12,
         IF(BD$4=1,
            $T23/12,
            IF(BD$4=$P23,
               $U23/12,
               1
      ))),0)
))))</f>
        <v>-</v>
      </c>
      <c r="BF23" s="56" t="str">
        <f ca="1">IF($H23=リスト!$AA$4,"-",
   IF($C23="-","-",
     IF(BF$4&gt;$P23,"-",
       IF(BF$4=1,$E23,OFFSET(BF23,0,-2)-OFFSET(BF23,0,-1)
))))</f>
        <v>-</v>
      </c>
      <c r="BG23" s="57" t="str">
        <f>IF($H23=リスト!$AA$4,"-",
 IF($C23="-","-",
  IF(BF$4&gt;$P23,"-",
   CHOOSE(MATCH($H$3,リスト!$AE$3:$AE$5,0),
    ROUNDUP(
      BF23*IF(BF23*$I23&lt;=$L23,$J23,$I23)*
      IF($P23=1,
         $S23/12,
         IF(BF$4=1,
            $T23/12,
            IF(BF$4=$P23,
               $U23/12,
               1
      ))),0),
    ROUNDDOWN(
      BF23*IF(BF23*$I23&lt;=$L23,$J23,$I23)*
      IF($P23=1,
         $S23/12,
         IF(BF$4=1,
            $T23/12,
            IF(BF$4=$P23,
               $U23/12,
               1
      ))),0),
    ROUND(
      BF23*IF(BF23*$I23&lt;=$L23,$J23,$I23)*
      IF($P23=1,
         $S23/12,
         IF(BF$4=1,
            $T23/12,
            IF(BF$4=$P23,
               $U23/12,
               1
      ))),0)
))))</f>
        <v>-</v>
      </c>
      <c r="BH23" s="56" t="str">
        <f ca="1">IF($H23=リスト!$AA$4,"-",
   IF($C23="-","-",
     IF(BH$4&gt;$P23,"-",
       IF(BH$4=1,$E23,OFFSET(BH23,0,-2)-OFFSET(BH23,0,-1)
))))</f>
        <v>-</v>
      </c>
      <c r="BI23" s="57" t="str">
        <f>IF($H23=リスト!$AA$4,"-",
 IF($C23="-","-",
  IF(BH$4&gt;$P23,"-",
   CHOOSE(MATCH($H$3,リスト!$AE$3:$AE$5,0),
    ROUNDUP(
      BH23*IF(BH23*$I23&lt;=$L23,$J23,$I23)*
      IF($P23=1,
         $S23/12,
         IF(BH$4=1,
            $T23/12,
            IF(BH$4=$P23,
               $U23/12,
               1
      ))),0),
    ROUNDDOWN(
      BH23*IF(BH23*$I23&lt;=$L23,$J23,$I23)*
      IF($P23=1,
         $S23/12,
         IF(BH$4=1,
            $T23/12,
            IF(BH$4=$P23,
               $U23/12,
               1
      ))),0),
    ROUND(
      BH23*IF(BH23*$I23&lt;=$L23,$J23,$I23)*
      IF($P23=1,
         $S23/12,
         IF(BH$4=1,
            $T23/12,
            IF(BH$4=$P23,
               $U23/12,
               1
      ))),0)
))))</f>
        <v>-</v>
      </c>
      <c r="BJ23" s="56" t="str">
        <f ca="1">IF($H23=リスト!$AA$4,"-",
   IF($C23="-","-",
     IF(BJ$4&gt;$P23,"-",
       IF(BJ$4=1,$E23,OFFSET(BJ23,0,-2)-OFFSET(BJ23,0,-1)
))))</f>
        <v>-</v>
      </c>
      <c r="BK23" s="57" t="str">
        <f>IF($H23=リスト!$AA$4,"-",
 IF($C23="-","-",
  IF(BJ$4&gt;$P23,"-",
   CHOOSE(MATCH($H$3,リスト!$AE$3:$AE$5,0),
    ROUNDUP(
      BJ23*IF(BJ23*$I23&lt;=$L23,$J23,$I23)*
      IF($P23=1,
         $S23/12,
         IF(BJ$4=1,
            $T23/12,
            IF(BJ$4=$P23,
               $U23/12,
               1
      ))),0),
    ROUNDDOWN(
      BJ23*IF(BJ23*$I23&lt;=$L23,$J23,$I23)*
      IF($P23=1,
         $S23/12,
         IF(BJ$4=1,
            $T23/12,
            IF(BJ$4=$P23,
               $U23/12,
               1
      ))),0),
    ROUND(
      BJ23*IF(BJ23*$I23&lt;=$L23,$J23,$I23)*
      IF($P23=1,
         $S23/12,
         IF(BJ$4=1,
            $T23/12,
            IF(BJ$4=$P23,
               $U23/12,
               1
      ))),0)
))))</f>
        <v>-</v>
      </c>
      <c r="BL23" s="56" t="str">
        <f ca="1">IF($H23=リスト!$AA$4,"-",
   IF($C23="-","-",
     IF(BL$4&gt;$P23,"-",
       IF(BL$4=1,$E23,OFFSET(BL23,0,-2)-OFFSET(BL23,0,-1)
))))</f>
        <v>-</v>
      </c>
      <c r="BM23" s="57" t="str">
        <f>IF($H23=リスト!$AA$4,"-",
 IF($C23="-","-",
  IF(BL$4&gt;$P23,"-",
   CHOOSE(MATCH($H$3,リスト!$AE$3:$AE$5,0),
    ROUNDUP(
      BL23*IF(BL23*$I23&lt;=$L23,$J23,$I23)*
      IF($P23=1,
         $S23/12,
         IF(BL$4=1,
            $T23/12,
            IF(BL$4=$P23,
               $U23/12,
               1
      ))),0),
    ROUNDDOWN(
      BL23*IF(BL23*$I23&lt;=$L23,$J23,$I23)*
      IF($P23=1,
         $S23/12,
         IF(BL$4=1,
            $T23/12,
            IF(BL$4=$P23,
               $U23/12,
               1
      ))),0),
    ROUND(
      BL23*IF(BL23*$I23&lt;=$L23,$J23,$I23)*
      IF($P23=1,
         $S23/12,
         IF(BL$4=1,
            $T23/12,
            IF(BL$4=$P23,
               $U23/12,
               1
      ))),0)
))))</f>
        <v>-</v>
      </c>
      <c r="BN23" s="56" t="str">
        <f ca="1">IF($H23=リスト!$AA$4,"-",
   IF($C23="-","-",
     IF(BN$4&gt;$P23,"-",
       IF(BN$4=1,$E23,OFFSET(BN23,0,-2)-OFFSET(BN23,0,-1)
))))</f>
        <v>-</v>
      </c>
      <c r="BO23" s="57" t="str">
        <f>IF($H23=リスト!$AA$4,"-",
 IF($C23="-","-",
  IF(BN$4&gt;$P23,"-",
   CHOOSE(MATCH($H$3,リスト!$AE$3:$AE$5,0),
    ROUNDUP(
      BN23*IF(BN23*$I23&lt;=$L23,$J23,$I23)*
      IF($P23=1,
         $S23/12,
         IF(BN$4=1,
            $T23/12,
            IF(BN$4=$P23,
               $U23/12,
               1
      ))),0),
    ROUNDDOWN(
      BN23*IF(BN23*$I23&lt;=$L23,$J23,$I23)*
      IF($P23=1,
         $S23/12,
         IF(BN$4=1,
            $T23/12,
            IF(BN$4=$P23,
               $U23/12,
               1
      ))),0),
    ROUND(
      BN23*IF(BN23*$I23&lt;=$L23,$J23,$I23)*
      IF($P23=1,
         $S23/12,
         IF(BN$4=1,
            $T23/12,
            IF(BN$4=$P23,
               $U23/12,
               1
      ))),0)
))))</f>
        <v>-</v>
      </c>
      <c r="BP23" s="56" t="str">
        <f ca="1">IF($H23=リスト!$AA$4,"-",
   IF($C23="-","-",
     IF(BP$4&gt;$P23,"-",
       IF(BP$4=1,$E23,OFFSET(BP23,0,-2)-OFFSET(BP23,0,-1)
))))</f>
        <v>-</v>
      </c>
      <c r="BQ23" s="57" t="str">
        <f>IF($H23=リスト!$AA$4,"-",
 IF($C23="-","-",
  IF(BP$4&gt;$P23,"-",
   CHOOSE(MATCH($H$3,リスト!$AE$3:$AE$5,0),
    ROUNDUP(
      BP23*IF(BP23*$I23&lt;=$L23,$J23,$I23)*
      IF($P23=1,
         $S23/12,
         IF(BP$4=1,
            $T23/12,
            IF(BP$4=$P23,
               $U23/12,
               1
      ))),0),
    ROUNDDOWN(
      BP23*IF(BP23*$I23&lt;=$L23,$J23,$I23)*
      IF($P23=1,
         $S23/12,
         IF(BP$4=1,
            $T23/12,
            IF(BP$4=$P23,
               $U23/12,
               1
      ))),0),
    ROUND(
      BP23*IF(BP23*$I23&lt;=$L23,$J23,$I23)*
      IF($P23=1,
         $S23/12,
         IF(BP$4=1,
            $T23/12,
            IF(BP$4=$P23,
               $U23/12,
               1
      ))),0)
))))</f>
        <v>-</v>
      </c>
      <c r="BR23" s="56" t="str">
        <f ca="1">IF($H23=リスト!$AA$4,"-",
   IF($C23="-","-",
     IF(BR$4&gt;$P23,"-",
       IF(BR$4=1,$E23,OFFSET(BR23,0,-2)-OFFSET(BR23,0,-1)
))))</f>
        <v>-</v>
      </c>
      <c r="BS23" s="57" t="str">
        <f>IF($H23=リスト!$AA$4,"-",
 IF($C23="-","-",
  IF(BR$4&gt;$P23,"-",
   CHOOSE(MATCH($H$3,リスト!$AE$3:$AE$5,0),
    ROUNDUP(
      BR23*IF(BR23*$I23&lt;=$L23,$J23,$I23)*
      IF($P23=1,
         $S23/12,
         IF(BR$4=1,
            $T23/12,
            IF(BR$4=$P23,
               $U23/12,
               1
      ))),0),
    ROUNDDOWN(
      BR23*IF(BR23*$I23&lt;=$L23,$J23,$I23)*
      IF($P23=1,
         $S23/12,
         IF(BR$4=1,
            $T23/12,
            IF(BR$4=$P23,
               $U23/12,
               1
      ))),0),
    ROUND(
      BR23*IF(BR23*$I23&lt;=$L23,$J23,$I23)*
      IF($P23=1,
         $S23/12,
         IF(BR$4=1,
            $T23/12,
            IF(BR$4=$P23,
               $U23/12,
               1
      ))),0)
))))</f>
        <v>-</v>
      </c>
      <c r="BT23" s="56" t="str">
        <f ca="1">IF($H23=リスト!$AA$4,"-",
   IF($C23="-","-",
     IF(BT$4&gt;$P23,"-",
       IF(BT$4=1,$E23,OFFSET(BT23,0,-2)-OFFSET(BT23,0,-1)
))))</f>
        <v>-</v>
      </c>
      <c r="BU23" s="57" t="str">
        <f>IF($H23=リスト!$AA$4,"-",
 IF($C23="-","-",
  IF(BT$4&gt;$P23,"-",
   CHOOSE(MATCH($H$3,リスト!$AE$3:$AE$5,0),
    ROUNDUP(
      BT23*IF(BT23*$I23&lt;=$L23,$J23,$I23)*
      IF($P23=1,
         $S23/12,
         IF(BT$4=1,
            $T23/12,
            IF(BT$4=$P23,
               $U23/12,
               1
      ))),0),
    ROUNDDOWN(
      BT23*IF(BT23*$I23&lt;=$L23,$J23,$I23)*
      IF($P23=1,
         $S23/12,
         IF(BT$4=1,
            $T23/12,
            IF(BT$4=$P23,
               $U23/12,
               1
      ))),0),
    ROUND(
      BT23*IF(BT23*$I23&lt;=$L23,$J23,$I23)*
      IF($P23=1,
         $S23/12,
         IF(BT$4=1,
            $T23/12,
            IF(BT$4=$P23,
               $U23/12,
               1
      ))),0)
))))</f>
        <v>-</v>
      </c>
      <c r="BV23" s="56" t="str">
        <f ca="1">IF($H23=リスト!$AA$4,"-",
   IF($C23="-","-",
     IF(BV$4&gt;$P23,"-",
       IF(BV$4=1,$E23,OFFSET(BV23,0,-2)-OFFSET(BV23,0,-1)
))))</f>
        <v>-</v>
      </c>
      <c r="BW23" s="57" t="str">
        <f>IF($H23=リスト!$AA$4,"-",
 IF($C23="-","-",
  IF(BV$4&gt;$P23,"-",
   CHOOSE(MATCH($H$3,リスト!$AE$3:$AE$5,0),
    ROUNDUP(
      BV23*IF(BV23*$I23&lt;=$L23,$J23,$I23)*
      IF($P23=1,
         $S23/12,
         IF(BV$4=1,
            $T23/12,
            IF(BV$4=$P23,
               $U23/12,
               1
      ))),0),
    ROUNDDOWN(
      BV23*IF(BV23*$I23&lt;=$L23,$J23,$I23)*
      IF($P23=1,
         $S23/12,
         IF(BV$4=1,
            $T23/12,
            IF(BV$4=$P23,
               $U23/12,
               1
      ))),0),
    ROUND(
      BV23*IF(BV23*$I23&lt;=$L23,$J23,$I23)*
      IF($P23=1,
         $S23/12,
         IF(BV$4=1,
            $T23/12,
            IF(BV$4=$P23,
               $U23/12,
               1
      ))),0)
))))</f>
        <v>-</v>
      </c>
      <c r="BX23" s="56" t="str">
        <f ca="1">IF($H23=リスト!$AA$4,"-",
   IF($C23="-","-",
     IF(BX$4&gt;$P23,"-",
       IF(BX$4=1,$E23,OFFSET(BX23,0,-2)-OFFSET(BX23,0,-1)
))))</f>
        <v>-</v>
      </c>
      <c r="BY23" s="57" t="str">
        <f>IF($H23=リスト!$AA$4,"-",
 IF($C23="-","-",
  IF(BX$4&gt;$P23,"-",
   CHOOSE(MATCH($H$3,リスト!$AE$3:$AE$5,0),
    ROUNDUP(
      BX23*IF(BX23*$I23&lt;=$L23,$J23,$I23)*
      IF($P23=1,
         $S23/12,
         IF(BX$4=1,
            $T23/12,
            IF(BX$4=$P23,
               $U23/12,
               1
      ))),0),
    ROUNDDOWN(
      BX23*IF(BX23*$I23&lt;=$L23,$J23,$I23)*
      IF($P23=1,
         $S23/12,
         IF(BX$4=1,
            $T23/12,
            IF(BX$4=$P23,
               $U23/12,
               1
      ))),0),
    ROUND(
      BX23*IF(BX23*$I23&lt;=$L23,$J23,$I23)*
      IF($P23=1,
         $S23/12,
         IF(BX$4=1,
            $T23/12,
            IF(BX$4=$P23,
               $U23/12,
               1
      ))),0)
))))</f>
        <v>-</v>
      </c>
      <c r="BZ23" s="56" t="str">
        <f ca="1">IF($H23=リスト!$AA$4,"-",
   IF($C23="-","-",
     IF(BZ$4&gt;$P23,"-",
       IF(BZ$4=1,$E23,OFFSET(BZ23,0,-2)-OFFSET(BZ23,0,-1)
))))</f>
        <v>-</v>
      </c>
      <c r="CA23" s="57" t="str">
        <f>IF($H23=リスト!$AA$4,"-",
 IF($C23="-","-",
  IF(BZ$4&gt;$P23,"-",
   CHOOSE(MATCH($H$3,リスト!$AE$3:$AE$5,0),
    ROUNDUP(
      BZ23*IF(BZ23*$I23&lt;=$L23,$J23,$I23)*
      IF($P23=1,
         $S23/12,
         IF(BZ$4=1,
            $T23/12,
            IF(BZ$4=$P23,
               $U23/12,
               1
      ))),0),
    ROUNDDOWN(
      BZ23*IF(BZ23*$I23&lt;=$L23,$J23,$I23)*
      IF($P23=1,
         $S23/12,
         IF(BZ$4=1,
            $T23/12,
            IF(BZ$4=$P23,
               $U23/12,
               1
      ))),0),
    ROUND(
      BZ23*IF(BZ23*$I23&lt;=$L23,$J23,$I23)*
      IF($P23=1,
         $S23/12,
         IF(BZ$4=1,
            $T23/12,
            IF(BZ$4=$P23,
               $U23/12,
               1
      ))),0)
))))</f>
        <v>-</v>
      </c>
      <c r="CB23" s="56" t="str">
        <f ca="1">IF($H23=リスト!$AA$4,"-",
   IF($C23="-","-",
     IF(CB$4&gt;$P23,"-",
       IF(CB$4=1,$E23,OFFSET(CB23,0,-2)-OFFSET(CB23,0,-1)
))))</f>
        <v>-</v>
      </c>
      <c r="CC23" s="57" t="str">
        <f>IF($H23=リスト!$AA$4,"-",
 IF($C23="-","-",
  IF(CB$4&gt;$P23,"-",
   CHOOSE(MATCH($H$3,リスト!$AE$3:$AE$5,0),
    ROUNDUP(
      CB23*IF(CB23*$I23&lt;=$L23,$J23,$I23)*
      IF($P23=1,
         $S23/12,
         IF(CB$4=1,
            $T23/12,
            IF(CB$4=$P23,
               $U23/12,
               1
      ))),0),
    ROUNDDOWN(
      CB23*IF(CB23*$I23&lt;=$L23,$J23,$I23)*
      IF($P23=1,
         $S23/12,
         IF(CB$4=1,
            $T23/12,
            IF(CB$4=$P23,
               $U23/12,
               1
      ))),0),
    ROUND(
      CB23*IF(CB23*$I23&lt;=$L23,$J23,$I23)*
      IF($P23=1,
         $S23/12,
         IF(CB$4=1,
            $T23/12,
            IF(CB$4=$P23,
               $U23/12,
               1
      ))),0)
))))</f>
        <v>-</v>
      </c>
      <c r="CD23" s="56" t="str">
        <f ca="1">IF($H23=リスト!$AA$4,"-",
   IF($C23="-","-",
     IF(CD$4&gt;$P23,"-",
       IF(CD$4=1,$E23,OFFSET(CD23,0,-2)-OFFSET(CD23,0,-1)
))))</f>
        <v>-</v>
      </c>
      <c r="CE23" s="57" t="str">
        <f>IF($H23=リスト!$AA$4,"-",
 IF($C23="-","-",
  IF(CD$4&gt;$P23,"-",
   CHOOSE(MATCH($H$3,リスト!$AE$3:$AE$5,0),
    ROUNDUP(
      CD23*IF(CD23*$I23&lt;=$L23,$J23,$I23)*
      IF($P23=1,
         $S23/12,
         IF(CD$4=1,
            $T23/12,
            IF(CD$4=$P23,
               $U23/12,
               1
      ))),0),
    ROUNDDOWN(
      CD23*IF(CD23*$I23&lt;=$L23,$J23,$I23)*
      IF($P23=1,
         $S23/12,
         IF(CD$4=1,
            $T23/12,
            IF(CD$4=$P23,
               $U23/12,
               1
      ))),0),
    ROUND(
      CD23*IF(CD23*$I23&lt;=$L23,$J23,$I23)*
      IF($P23=1,
         $S23/12,
         IF(CD$4=1,
            $T23/12,
            IF(CD$4=$P23,
               $U23/12,
               1
      ))),0)
))))</f>
        <v>-</v>
      </c>
      <c r="CF23" s="56" t="str">
        <f ca="1">IF($H23=リスト!$AA$4,"-",
   IF($C23="-","-",
     IF(CF$4&gt;$P23,"-",
       IF(CF$4=1,$E23,OFFSET(CF23,0,-2)-OFFSET(CF23,0,-1)
))))</f>
        <v>-</v>
      </c>
      <c r="CG23" s="57" t="str">
        <f>IF($H23=リスト!$AA$4,"-",
 IF($C23="-","-",
  IF(CF$4&gt;$P23,"-",
   CHOOSE(MATCH($H$3,リスト!$AE$3:$AE$5,0),
    ROUNDUP(
      CF23*IF(CF23*$I23&lt;=$L23,$J23,$I23)*
      IF($P23=1,
         $S23/12,
         IF(CF$4=1,
            $T23/12,
            IF(CF$4=$P23,
               $U23/12,
               1
      ))),0),
    ROUNDDOWN(
      CF23*IF(CF23*$I23&lt;=$L23,$J23,$I23)*
      IF($P23=1,
         $S23/12,
         IF(CF$4=1,
            $T23/12,
            IF(CF$4=$P23,
               $U23/12,
               1
      ))),0),
    ROUND(
      CF23*IF(CF23*$I23&lt;=$L23,$J23,$I23)*
      IF($P23=1,
         $S23/12,
         IF(CF$4=1,
            $T23/12,
            IF(CF$4=$P23,
               $U23/12,
               1
      ))),0)
))))</f>
        <v>-</v>
      </c>
      <c r="CH23" s="56" t="str">
        <f ca="1">IF($H23=リスト!$AA$4,"-",
   IF($C23="-","-",
     IF(CH$4&gt;$P23,"-",
       IF(CH$4=1,$E23,OFFSET(CH23,0,-2)-OFFSET(CH23,0,-1)
))))</f>
        <v>-</v>
      </c>
      <c r="CI23" s="57" t="str">
        <f>IF($H23=リスト!$AA$4,"-",
 IF($C23="-","-",
  IF(CH$4&gt;$P23,"-",
   CHOOSE(MATCH($H$3,リスト!$AE$3:$AE$5,0),
    ROUNDUP(
      CH23*IF(CH23*$I23&lt;=$L23,$J23,$I23)*
      IF($P23=1,
         $S23/12,
         IF(CH$4=1,
            $T23/12,
            IF(CH$4=$P23,
               $U23/12,
               1
      ))),0),
    ROUNDDOWN(
      CH23*IF(CH23*$I23&lt;=$L23,$J23,$I23)*
      IF($P23=1,
         $S23/12,
         IF(CH$4=1,
            $T23/12,
            IF(CH$4=$P23,
               $U23/12,
               1
      ))),0),
    ROUND(
      CH23*IF(CH23*$I23&lt;=$L23,$J23,$I23)*
      IF($P23=1,
         $S23/12,
         IF(CH$4=1,
            $T23/12,
            IF(CH$4=$P23,
               $U23/12,
               1
      ))),0)
))))</f>
        <v>-</v>
      </c>
      <c r="CJ23" s="56" t="str">
        <f ca="1">IF($H23=リスト!$AA$4,"-",
   IF($C23="-","-",
     IF(CJ$4&gt;$P23,"-",
       IF(CJ$4=1,$E23,OFFSET(CJ23,0,-2)-OFFSET(CJ23,0,-1)
))))</f>
        <v>-</v>
      </c>
      <c r="CK23" s="57" t="str">
        <f>IF($H23=リスト!$AA$4,"-",
 IF($C23="-","-",
  IF(CJ$4&gt;$P23,"-",
   CHOOSE(MATCH($H$3,リスト!$AE$3:$AE$5,0),
    ROUNDUP(
      CJ23*IF(CJ23*$I23&lt;=$L23,$J23,$I23)*
      IF($P23=1,
         $S23/12,
         IF(CJ$4=1,
            $T23/12,
            IF(CJ$4=$P23,
               $U23/12,
               1
      ))),0),
    ROUNDDOWN(
      CJ23*IF(CJ23*$I23&lt;=$L23,$J23,$I23)*
      IF($P23=1,
         $S23/12,
         IF(CJ$4=1,
            $T23/12,
            IF(CJ$4=$P23,
               $U23/12,
               1
      ))),0),
    ROUND(
      CJ23*IF(CJ23*$I23&lt;=$L23,$J23,$I23)*
      IF($P23=1,
         $S23/12,
         IF(CJ$4=1,
            $T23/12,
            IF(CJ$4=$P23,
               $U23/12,
               1
      ))),0)
))))</f>
        <v>-</v>
      </c>
      <c r="CL23" s="56" t="str">
        <f ca="1">IF($H23=リスト!$AA$4,"-",
   IF($C23="-","-",
     IF(CL$4&gt;$P23,"-",
       IF(CL$4=1,$E23,OFFSET(CL23,0,-2)-OFFSET(CL23,0,-1)
))))</f>
        <v>-</v>
      </c>
      <c r="CM23" s="57" t="str">
        <f>IF($H23=リスト!$AA$4,"-",
 IF($C23="-","-",
  IF(CL$4&gt;$P23,"-",
   CHOOSE(MATCH($H$3,リスト!$AE$3:$AE$5,0),
    ROUNDUP(
      CL23*IF(CL23*$I23&lt;=$L23,$J23,$I23)*
      IF($P23=1,
         $S23/12,
         IF(CL$4=1,
            $T23/12,
            IF(CL$4=$P23,
               $U23/12,
               1
      ))),0),
    ROUNDDOWN(
      CL23*IF(CL23*$I23&lt;=$L23,$J23,$I23)*
      IF($P23=1,
         $S23/12,
         IF(CL$4=1,
            $T23/12,
            IF(CL$4=$P23,
               $U23/12,
               1
      ))),0),
    ROUND(
      CL23*IF(CL23*$I23&lt;=$L23,$J23,$I23)*
      IF($P23=1,
         $S23/12,
         IF(CL$4=1,
            $T23/12,
            IF(CL$4=$P23,
               $U23/12,
               1
      ))),0)
))))</f>
        <v>-</v>
      </c>
      <c r="CN23" s="56" t="str">
        <f ca="1">IF($H23=リスト!$AA$4,"-",
   IF($C23="-","-",
     IF(CN$4&gt;$P23,"-",
       IF(CN$4=1,$E23,OFFSET(CN23,0,-2)-OFFSET(CN23,0,-1)
))))</f>
        <v>-</v>
      </c>
      <c r="CO23" s="57" t="str">
        <f>IF($H23=リスト!$AA$4,"-",
 IF($C23="-","-",
  IF(CN$4&gt;$P23,"-",
   CHOOSE(MATCH($H$3,リスト!$AE$3:$AE$5,0),
    ROUNDUP(
      CN23*IF(CN23*$I23&lt;=$L23,$J23,$I23)*
      IF($P23=1,
         $S23/12,
         IF(CN$4=1,
            $T23/12,
            IF(CN$4=$P23,
               $U23/12,
               1
      ))),0),
    ROUNDDOWN(
      CN23*IF(CN23*$I23&lt;=$L23,$J23,$I23)*
      IF($P23=1,
         $S23/12,
         IF(CN$4=1,
            $T23/12,
            IF(CN$4=$P23,
               $U23/12,
               1
      ))),0),
    ROUND(
      CN23*IF(CN23*$I23&lt;=$L23,$J23,$I23)*
      IF($P23=1,
         $S23/12,
         IF(CN$4=1,
            $T23/12,
            IF(CN$4=$P23,
               $U23/12,
               1
      ))),0)
))))</f>
        <v>-</v>
      </c>
      <c r="CP23" s="56" t="str">
        <f ca="1">IF($H23=リスト!$AA$4,"-",
   IF($C23="-","-",
     IF(CP$4&gt;$P23,"-",
       IF(CP$4=1,$E23,OFFSET(CP23,0,-2)-OFFSET(CP23,0,-1)
))))</f>
        <v>-</v>
      </c>
      <c r="CQ23" s="57" t="str">
        <f>IF($H23=リスト!$AA$4,"-",
 IF($C23="-","-",
  IF(CP$4&gt;$P23,"-",
   CHOOSE(MATCH($H$3,リスト!$AE$3:$AE$5,0),
    ROUNDUP(
      CP23*IF(CP23*$I23&lt;=$L23,$J23,$I23)*
      IF($P23=1,
         $S23/12,
         IF(CP$4=1,
            $T23/12,
            IF(CP$4=$P23,
               $U23/12,
               1
      ))),0),
    ROUNDDOWN(
      CP23*IF(CP23*$I23&lt;=$L23,$J23,$I23)*
      IF($P23=1,
         $S23/12,
         IF(CP$4=1,
            $T23/12,
            IF(CP$4=$P23,
               $U23/12,
               1
      ))),0),
    ROUND(
      CP23*IF(CP23*$I23&lt;=$L23,$J23,$I23)*
      IF($P23=1,
         $S23/12,
         IF(CP$4=1,
            $T23/12,
            IF(CP$4=$P23,
               $U23/12,
               1
      ))),0)
))))</f>
        <v>-</v>
      </c>
      <c r="CR23" s="56" t="str">
        <f ca="1">IF($H23=リスト!$AA$4,"-",
   IF($C23="-","-",
     IF(CR$4&gt;$P23,"-",
       IF(CR$4=1,$E23,OFFSET(CR23,0,-2)-OFFSET(CR23,0,-1)
))))</f>
        <v>-</v>
      </c>
      <c r="CS23" s="57" t="str">
        <f>IF($H23=リスト!$AA$4,"-",
 IF($C23="-","-",
  IF(CR$4&gt;$P23,"-",
   CHOOSE(MATCH($H$3,リスト!$AE$3:$AE$5,0),
    ROUNDUP(
      CR23*IF(CR23*$I23&lt;=$L23,$J23,$I23)*
      IF($P23=1,
         $S23/12,
         IF(CR$4=1,
            $T23/12,
            IF(CR$4=$P23,
               $U23/12,
               1
      ))),0),
    ROUNDDOWN(
      CR23*IF(CR23*$I23&lt;=$L23,$J23,$I23)*
      IF($P23=1,
         $S23/12,
         IF(CR$4=1,
            $T23/12,
            IF(CR$4=$P23,
               $U23/12,
               1
      ))),0),
    ROUND(
      CR23*IF(CR23*$I23&lt;=$L23,$J23,$I23)*
      IF($P23=1,
         $S23/12,
         IF(CR$4=1,
            $T23/12,
            IF(CR$4=$P23,
               $U23/12,
               1
      ))),0)
))))</f>
        <v>-</v>
      </c>
      <c r="CT23" s="56" t="str">
        <f ca="1">IF($H23=リスト!$AA$4,"-",
   IF($C23="-","-",
     IF(CT$4&gt;$P23,"-",
       IF(CT$4=1,$E23,OFFSET(CT23,0,-2)-OFFSET(CT23,0,-1)
))))</f>
        <v>-</v>
      </c>
      <c r="CU23" s="57" t="str">
        <f>IF($H23=リスト!$AA$4,"-",
 IF($C23="-","-",
  IF(CT$4&gt;$P23,"-",
   CHOOSE(MATCH($H$3,リスト!$AE$3:$AE$5,0),
    ROUNDUP(
      CT23*IF(CT23*$I23&lt;=$L23,$J23,$I23)*
      IF($P23=1,
         $S23/12,
         IF(CT$4=1,
            $T23/12,
            IF(CT$4=$P23,
               $U23/12,
               1
      ))),0),
    ROUNDDOWN(
      CT23*IF(CT23*$I23&lt;=$L23,$J23,$I23)*
      IF($P23=1,
         $S23/12,
         IF(CT$4=1,
            $T23/12,
            IF(CT$4=$P23,
               $U23/12,
               1
      ))),0),
    ROUND(
      CT23*IF(CT23*$I23&lt;=$L23,$J23,$I23)*
      IF($P23=1,
         $S23/12,
         IF(CT$4=1,
            $T23/12,
            IF(CT$4=$P23,
               $U23/12,
               1
      ))),0)
))))</f>
        <v>-</v>
      </c>
      <c r="CV23" s="56" t="str">
        <f ca="1">IF($H23=リスト!$AA$4,"-",
   IF($C23="-","-",
     IF(CV$4&gt;$P23,"-",
       IF(CV$4=1,$E23,OFFSET(CV23,0,-2)-OFFSET(CV23,0,-1)
))))</f>
        <v>-</v>
      </c>
      <c r="CW23" s="57" t="str">
        <f>IF($H23=リスト!$AA$4,"-",
 IF($C23="-","-",
  IF(CV$4&gt;$P23,"-",
   CHOOSE(MATCH($H$3,リスト!$AE$3:$AE$5,0),
    ROUNDUP(
      CV23*IF(CV23*$I23&lt;=$L23,$J23,$I23)*
      IF($P23=1,
         $S23/12,
         IF(CV$4=1,
            $T23/12,
            IF(CV$4=$P23,
               $U23/12,
               1
      ))),0),
    ROUNDDOWN(
      CV23*IF(CV23*$I23&lt;=$L23,$J23,$I23)*
      IF($P23=1,
         $S23/12,
         IF(CV$4=1,
            $T23/12,
            IF(CV$4=$P23,
               $U23/12,
               1
      ))),0),
    ROUND(
      CV23*IF(CV23*$I23&lt;=$L23,$J23,$I23)*
      IF($P23=1,
         $S23/12,
         IF(CV$4=1,
            $T23/12,
            IF(CV$4=$P23,
               $U23/12,
               1
      ))),0)
))))</f>
        <v>-</v>
      </c>
      <c r="CX23" s="56" t="str">
        <f ca="1">IF($H23=リスト!$AA$4,"-",
   IF($C23="-","-",
     IF(CX$4&gt;$P23,"-",
       IF(CX$4=1,$E23,OFFSET(CX23,0,-2)-OFFSET(CX23,0,-1)
))))</f>
        <v>-</v>
      </c>
      <c r="CY23" s="57" t="str">
        <f>IF($H23=リスト!$AA$4,"-",
 IF($C23="-","-",
  IF(CX$4&gt;$P23,"-",
   CHOOSE(MATCH($H$3,リスト!$AE$3:$AE$5,0),
    ROUNDUP(
      CX23*IF(CX23*$I23&lt;=$L23,$J23,$I23)*
      IF($P23=1,
         $S23/12,
         IF(CX$4=1,
            $T23/12,
            IF(CX$4=$P23,
               $U23/12,
               1
      ))),0),
    ROUNDDOWN(
      CX23*IF(CX23*$I23&lt;=$L23,$J23,$I23)*
      IF($P23=1,
         $S23/12,
         IF(CX$4=1,
            $T23/12,
            IF(CX$4=$P23,
               $U23/12,
               1
      ))),0),
    ROUND(
      CX23*IF(CX23*$I23&lt;=$L23,$J23,$I23)*
      IF($P23=1,
         $S23/12,
         IF(CX$4=1,
            $T23/12,
            IF(CX$4=$P23,
               $U23/12,
               1
      ))),0)
))))</f>
        <v>-</v>
      </c>
      <c r="CZ23" s="56" t="str">
        <f ca="1">IF($H23=リスト!$AA$4,"-",
   IF($C23="-","-",
     IF(CZ$4&gt;$P23,"-",
       IF(CZ$4=1,$E23,OFFSET(CZ23,0,-2)-OFFSET(CZ23,0,-1)
))))</f>
        <v>-</v>
      </c>
      <c r="DA23" s="57" t="str">
        <f>IF($H23=リスト!$AA$4,"-",
 IF($C23="-","-",
  IF(CZ$4&gt;$P23,"-",
   CHOOSE(MATCH($H$3,リスト!$AE$3:$AE$5,0),
    ROUNDUP(
      CZ23*IF(CZ23*$I23&lt;=$L23,$J23,$I23)*
      IF($P23=1,
         $S23/12,
         IF(CZ$4=1,
            $T23/12,
            IF(CZ$4=$P23,
               $U23/12,
               1
      ))),0),
    ROUNDDOWN(
      CZ23*IF(CZ23*$I23&lt;=$L23,$J23,$I23)*
      IF($P23=1,
         $S23/12,
         IF(CZ$4=1,
            $T23/12,
            IF(CZ$4=$P23,
               $U23/12,
               1
      ))),0),
    ROUND(
      CZ23*IF(CZ23*$I23&lt;=$L23,$J23,$I23)*
      IF($P23=1,
         $S23/12,
         IF(CZ$4=1,
            $T23/12,
            IF(CZ$4=$P23,
               $U23/12,
               1
      ))),0)
))))</f>
        <v>-</v>
      </c>
      <c r="DB23" s="56" t="str">
        <f ca="1">IF($H23=リスト!$AA$4,"-",
   IF($C23="-","-",
     IF(DB$4&gt;$P23,"-",
       IF(DB$4=1,$E23,OFFSET(DB23,0,-2)-OFFSET(DB23,0,-1)
))))</f>
        <v>-</v>
      </c>
      <c r="DC23" s="57" t="str">
        <f>IF($H23=リスト!$AA$4,"-",
 IF($C23="-","-",
  IF(DB$4&gt;$P23,"-",
   CHOOSE(MATCH($H$3,リスト!$AE$3:$AE$5,0),
    ROUNDUP(
      DB23*IF(DB23*$I23&lt;=$L23,$J23,$I23)*
      IF($P23=1,
         $S23/12,
         IF(DB$4=1,
            $T23/12,
            IF(DB$4=$P23,
               $U23/12,
               1
      ))),0),
    ROUNDDOWN(
      DB23*IF(DB23*$I23&lt;=$L23,$J23,$I23)*
      IF($P23=1,
         $S23/12,
         IF(DB$4=1,
            $T23/12,
            IF(DB$4=$P23,
               $U23/12,
               1
      ))),0),
    ROUND(
      DB23*IF(DB23*$I23&lt;=$L23,$J23,$I23)*
      IF($P23=1,
         $S23/12,
         IF(DB$4=1,
            $T23/12,
            IF(DB$4=$P23,
               $U23/12,
               1
      ))),0)
))))</f>
        <v>-</v>
      </c>
      <c r="DD23" s="56" t="str">
        <f ca="1">IF($H23=リスト!$AA$4,"-",
   IF($C23="-","-",
     IF(DD$4&gt;$P23,"-",
       IF(DD$4=1,$E23,OFFSET(DD23,0,-2)-OFFSET(DD23,0,-1)
))))</f>
        <v>-</v>
      </c>
      <c r="DE23" s="57" t="str">
        <f>IF($H23=リスト!$AA$4,"-",
 IF($C23="-","-",
  IF(DD$4&gt;$P23,"-",
   CHOOSE(MATCH($H$3,リスト!$AE$3:$AE$5,0),
    ROUNDUP(
      DD23*IF(DD23*$I23&lt;=$L23,$J23,$I23)*
      IF($P23=1,
         $S23/12,
         IF(DD$4=1,
            $T23/12,
            IF(DD$4=$P23,
               $U23/12,
               1
      ))),0),
    ROUNDDOWN(
      DD23*IF(DD23*$I23&lt;=$L23,$J23,$I23)*
      IF($P23=1,
         $S23/12,
         IF(DD$4=1,
            $T23/12,
            IF(DD$4=$P23,
               $U23/12,
               1
      ))),0),
    ROUND(
      DD23*IF(DD23*$I23&lt;=$L23,$J23,$I23)*
      IF($P23=1,
         $S23/12,
         IF(DD$4=1,
            $T23/12,
            IF(DD$4=$P23,
               $U23/12,
               1
      ))),0)
))))</f>
        <v>-</v>
      </c>
      <c r="DF23" s="56" t="str">
        <f ca="1">IF($H23=リスト!$AA$4,"-",
   IF($C23="-","-",
     IF(DF$4&gt;$P23,"-",
       IF(DF$4=1,$E23,OFFSET(DF23,0,-2)-OFFSET(DF23,0,-1)
))))</f>
        <v>-</v>
      </c>
      <c r="DG23" s="57" t="str">
        <f>IF($H23=リスト!$AA$4,"-",
 IF($C23="-","-",
  IF(DF$4&gt;$P23,"-",
   CHOOSE(MATCH($H$3,リスト!$AE$3:$AE$5,0),
    ROUNDUP(
      DF23*IF(DF23*$I23&lt;=$L23,$J23,$I23)*
      IF($P23=1,
         $S23/12,
         IF(DF$4=1,
            $T23/12,
            IF(DF$4=$P23,
               $U23/12,
               1
      ))),0),
    ROUNDDOWN(
      DF23*IF(DF23*$I23&lt;=$L23,$J23,$I23)*
      IF($P23=1,
         $S23/12,
         IF(DF$4=1,
            $T23/12,
            IF(DF$4=$P23,
               $U23/12,
               1
      ))),0),
    ROUND(
      DF23*IF(DF23*$I23&lt;=$L23,$J23,$I23)*
      IF($P23=1,
         $S23/12,
         IF(DF$4=1,
            $T23/12,
            IF(DF$4=$P23,
               $U23/12,
               1
      ))),0)
))))</f>
        <v>-</v>
      </c>
      <c r="DH23" s="56" t="str">
        <f ca="1">IF($H23=リスト!$AA$4,"-",
   IF($C23="-","-",
     IF(DH$4&gt;$P23,"-",
       IF(DH$4=1,$E23,OFFSET(DH23,0,-2)-OFFSET(DH23,0,-1)
))))</f>
        <v>-</v>
      </c>
      <c r="DI23" s="57" t="str">
        <f>IF($H23=リスト!$AA$4,"-",
 IF($C23="-","-",
  IF(DH$4&gt;$P23,"-",
   CHOOSE(MATCH($H$3,リスト!$AE$3:$AE$5,0),
    ROUNDUP(
      DH23*IF(DH23*$I23&lt;=$L23,$J23,$I23)*
      IF($P23=1,
         $S23/12,
         IF(DH$4=1,
            $T23/12,
            IF(DH$4=$P23,
               $U23/12,
               1
      ))),0),
    ROUNDDOWN(
      DH23*IF(DH23*$I23&lt;=$L23,$J23,$I23)*
      IF($P23=1,
         $S23/12,
         IF(DH$4=1,
            $T23/12,
            IF(DH$4=$P23,
               $U23/12,
               1
      ))),0),
    ROUND(
      DH23*IF(DH23*$I23&lt;=$L23,$J23,$I23)*
      IF($P23=1,
         $S23/12,
         IF(DH$4=1,
            $T23/12,
            IF(DH$4=$P23,
               $U23/12,
               1
      ))),0)
))))</f>
        <v>-</v>
      </c>
      <c r="DJ23" s="56" t="str">
        <f ca="1">IF($H23=リスト!$AA$4,"-",
   IF($C23="-","-",
     IF(DJ$4&gt;$P23,"-",
       IF(DJ$4=1,$E23,OFFSET(DJ23,0,-2)-OFFSET(DJ23,0,-1)
))))</f>
        <v>-</v>
      </c>
      <c r="DK23" s="57" t="str">
        <f>IF($H23=リスト!$AA$4,"-",
 IF($C23="-","-",
  IF(DJ$4&gt;$P23,"-",
   CHOOSE(MATCH($H$3,リスト!$AE$3:$AE$5,0),
    ROUNDUP(
      DJ23*IF(DJ23*$I23&lt;=$L23,$J23,$I23)*
      IF($P23=1,
         $S23/12,
         IF(DJ$4=1,
            $T23/12,
            IF(DJ$4=$P23,
               $U23/12,
               1
      ))),0),
    ROUNDDOWN(
      DJ23*IF(DJ23*$I23&lt;=$L23,$J23,$I23)*
      IF($P23=1,
         $S23/12,
         IF(DJ$4=1,
            $T23/12,
            IF(DJ$4=$P23,
               $U23/12,
               1
      ))),0),
    ROUND(
      DJ23*IF(DJ23*$I23&lt;=$L23,$J23,$I23)*
      IF($P23=1,
         $S23/12,
         IF(DJ$4=1,
            $T23/12,
            IF(DJ$4=$P23,
               $U23/12,
               1
      ))),0)
))))</f>
        <v>-</v>
      </c>
      <c r="DL23" s="56" t="str">
        <f ca="1">IF($H23=リスト!$AA$4,"-",
   IF($C23="-","-",
     IF(DL$4&gt;$P23,"-",
       IF(DL$4=1,$E23,OFFSET(DL23,0,-2)-OFFSET(DL23,0,-1)
))))</f>
        <v>-</v>
      </c>
      <c r="DM23" s="57" t="str">
        <f>IF($H23=リスト!$AA$4,"-",
 IF($C23="-","-",
  IF(DL$4&gt;$P23,"-",
   CHOOSE(MATCH($H$3,リスト!$AE$3:$AE$5,0),
    ROUNDUP(
      DL23*IF(DL23*$I23&lt;=$L23,$J23,$I23)*
      IF($P23=1,
         $S23/12,
         IF(DL$4=1,
            $T23/12,
            IF(DL$4=$P23,
               $U23/12,
               1
      ))),0),
    ROUNDDOWN(
      DL23*IF(DL23*$I23&lt;=$L23,$J23,$I23)*
      IF($P23=1,
         $S23/12,
         IF(DL$4=1,
            $T23/12,
            IF(DL$4=$P23,
               $U23/12,
               1
      ))),0),
    ROUND(
      DL23*IF(DL23*$I23&lt;=$L23,$J23,$I23)*
      IF($P23=1,
         $S23/12,
         IF(DL$4=1,
            $T23/12,
            IF(DL$4=$P23,
               $U23/12,
               1
      ))),0)
))))</f>
        <v>-</v>
      </c>
      <c r="DN23" s="56" t="str">
        <f ca="1">IF($H23=リスト!$AA$4,"-",
   IF($C23="-","-",
     IF(DN$4&gt;$P23,"-",
       IF(DN$4=1,$E23,OFFSET(DN23,0,-2)-OFFSET(DN23,0,-1)
))))</f>
        <v>-</v>
      </c>
      <c r="DO23" s="57" t="str">
        <f>IF($H23=リスト!$AA$4,"-",
 IF($C23="-","-",
  IF(DN$4&gt;$P23,"-",
   CHOOSE(MATCH($H$3,リスト!$AE$3:$AE$5,0),
    ROUNDUP(
      DN23*IF(DN23*$I23&lt;=$L23,$J23,$I23)*
      IF($P23=1,
         $S23/12,
         IF(DN$4=1,
            $T23/12,
            IF(DN$4=$P23,
               $U23/12,
               1
      ))),0),
    ROUNDDOWN(
      DN23*IF(DN23*$I23&lt;=$L23,$J23,$I23)*
      IF($P23=1,
         $S23/12,
         IF(DN$4=1,
            $T23/12,
            IF(DN$4=$P23,
               $U23/12,
               1
      ))),0),
    ROUND(
      DN23*IF(DN23*$I23&lt;=$L23,$J23,$I23)*
      IF($P23=1,
         $S23/12,
         IF(DN$4=1,
            $T23/12,
            IF(DN$4=$P23,
               $U23/12,
               1
      ))),0)
))))</f>
        <v>-</v>
      </c>
      <c r="DP23" s="56" t="str">
        <f ca="1">IF($H23=リスト!$AA$4,"-",
   IF($C23="-","-",
     IF(DP$4&gt;$P23,"-",
       IF(DP$4=1,$E23,OFFSET(DP23,0,-2)-OFFSET(DP23,0,-1)
))))</f>
        <v>-</v>
      </c>
      <c r="DQ23" s="57" t="str">
        <f>IF($H23=リスト!$AA$4,"-",
 IF($C23="-","-",
  IF(DP$4&gt;$P23,"-",
   CHOOSE(MATCH($H$3,リスト!$AE$3:$AE$5,0),
    ROUNDUP(
      DP23*IF(DP23*$I23&lt;=$L23,$J23,$I23)*
      IF($P23=1,
         $S23/12,
         IF(DP$4=1,
            $T23/12,
            IF(DP$4=$P23,
               $U23/12,
               1
      ))),0),
    ROUNDDOWN(
      DP23*IF(DP23*$I23&lt;=$L23,$J23,$I23)*
      IF($P23=1,
         $S23/12,
         IF(DP$4=1,
            $T23/12,
            IF(DP$4=$P23,
               $U23/12,
               1
      ))),0),
    ROUND(
      DP23*IF(DP23*$I23&lt;=$L23,$J23,$I23)*
      IF($P23=1,
         $S23/12,
         IF(DP$4=1,
            $T23/12,
            IF(DP$4=$P23,
               $U23/12,
               1
      ))),0)
))))</f>
        <v>-</v>
      </c>
      <c r="DR23" s="56" t="str">
        <f ca="1">IF($H23=リスト!$AA$4,"-",
   IF($C23="-","-",
     IF(DR$4&gt;$P23,"-",
       IF(DR$4=1,$E23,OFFSET(DR23,0,-2)-OFFSET(DR23,0,-1)
))))</f>
        <v>-</v>
      </c>
      <c r="DS23" s="57" t="str">
        <f>IF($H23=リスト!$AA$4,"-",
 IF($C23="-","-",
  IF(DR$4&gt;$P23,"-",
   CHOOSE(MATCH($H$3,リスト!$AE$3:$AE$5,0),
    ROUNDUP(
      DR23*IF(DR23*$I23&lt;=$L23,$J23,$I23)*
      IF($P23=1,
         ($G23-$F23+1)/$Q23,
         IF(DR$4=1,
            ($M23-$F23+1)/$Q23,
            IF(DR$4=$P23,
               ($G23-$O23+1)/$R23,
               1
      ))),0),
    ROUNDDOWN(
      DR23*IF(DR23*$I23&lt;=$L23,$J23,$I23)*
      IF($P23=1,
         ($G23-$F23+1)/$Q23,
         IF(DR$4=1,
            ($M23-$F23+1)/$Q23,
            IF(DR$4=$P23,
               ($G23-$O23+1)/$R23,
               1
      ))),0),
    ROUND(
      DR23*IF(DR23*$I23&lt;=$L23,$J23,$I23)*
      IF($P23=1,
         ($G23-$F23+1)/$Q23,
         IF(DR$4=1,
            ($M23-$F23+1)/$Q23,
            IF(DR$4=$P23,
               ($G23-$O23+1)/$R23,
               1
      ))),0)
))))</f>
        <v>-</v>
      </c>
      <c r="DT23" s="56" t="str" cm="1">
        <f t="array" ref="DT23">IF($H23&lt;&gt;リスト!$AA$3,"-",$E23-SUMPRODUCT(IFERROR($Y23:$DS23*1,0), --(MOD(COLUMN($Y23:$DS23)-COLUMN($Y23),2)=0)))</f>
        <v>-</v>
      </c>
      <c r="DU23" s="56" t="str">
        <f>IF($H23&lt;&gt;リスト!$AA$4,"-",
    IF($H$3=リスト!$AE$3,$E23-ROUNDUP($E23*I23*$W23/12,0),
    IF($H$3=リスト!$AE$4,$E23-ROUNDDOWN($E23*I23*$W23/12,0),
    IF($H$3=リスト!$AE$5,$E23-ROUND($E23*I23*$W23/12,0),
    "-"))))</f>
        <v>-</v>
      </c>
    </row>
    <row r="24" spans="2:125">
      <c r="B24" s="54">
        <v>19</v>
      </c>
      <c r="C24" s="55" t="str">
        <f>IF('財産処分報告(災害)用'!$C24="","-",'財産処分報告(災害)用'!$C24)</f>
        <v>-</v>
      </c>
      <c r="D24" s="55" t="str">
        <f>'財産処分報告(災害)用'!$E24</f>
        <v>-</v>
      </c>
      <c r="E24" s="56" t="str">
        <f>IF('財産処分報告(災害)用'!$J24="","-",'財産処分報告(災害)用'!$J24)</f>
        <v>-</v>
      </c>
      <c r="F24" s="101" t="str">
        <f>IF('財産処分報告(災害)用'!$K24="","-",'財産処分報告(災害)用'!$K24)</f>
        <v>-</v>
      </c>
      <c r="G24" s="101" t="str">
        <f>IF('財産処分報告(災害)用'!$L24="","-",'財産処分報告(災害)用'!$L24)</f>
        <v>-</v>
      </c>
      <c r="H24" s="55" t="str">
        <f>IF('財産処分報告(災害)用'!$M24="","-",'財産処分報告(災害)用'!$M24)</f>
        <v>-</v>
      </c>
      <c r="I24" s="55" t="str">
        <f>IF(OR($D24="-",$H24="-"),"-",INDEX(リスト!$AG$2:$AI$101,MATCH($D24,リスト!$AG$2:$AG$101,0),MATCH($H24,リスト!$AG$2:$AI$2,0)))</f>
        <v>-</v>
      </c>
      <c r="J24" s="55" t="str">
        <f>IF(OR($D24="-",$H24="-"),"-",IF($H24=リスト!$AA$4,"-",INDEX(リスト!$AG$2:$AK$101,MATCH($D24,リスト!$AG$2:$AG$101,0),4)))</f>
        <v>-</v>
      </c>
      <c r="K24" s="55" t="str">
        <f>IF(OR($D24="-",$H24="-"),"-",IF($H24=リスト!$AA$4,"-",INDEX(リスト!$AG$2:$AK$101,MATCH($D24,リスト!$AG$2:$AG$101,0),5)))</f>
        <v>-</v>
      </c>
      <c r="L24" s="55" t="str">
        <f t="shared" si="0"/>
        <v>-</v>
      </c>
      <c r="M24" s="101" t="str">
        <f t="shared" si="1"/>
        <v>-</v>
      </c>
      <c r="N24" s="101" t="str">
        <f t="shared" si="2"/>
        <v>-</v>
      </c>
      <c r="O24" s="101" t="str">
        <f t="shared" si="3"/>
        <v>-</v>
      </c>
      <c r="P24" s="102" t="str">
        <f t="shared" si="4"/>
        <v>-</v>
      </c>
      <c r="Q24" s="115" t="str">
        <f t="shared" si="5"/>
        <v>-</v>
      </c>
      <c r="R24" s="116" t="str">
        <f t="shared" si="6"/>
        <v>-</v>
      </c>
      <c r="S24" s="102" t="str">
        <f t="shared" si="7"/>
        <v>-</v>
      </c>
      <c r="T24" s="102" t="str">
        <f t="shared" si="8"/>
        <v>-</v>
      </c>
      <c r="U24" s="102" t="str">
        <f t="shared" si="9"/>
        <v>-</v>
      </c>
      <c r="V24" s="102" t="str">
        <f t="shared" si="10"/>
        <v>-</v>
      </c>
      <c r="W24" s="55" t="str">
        <f t="shared" si="11"/>
        <v>-</v>
      </c>
      <c r="X24" s="56" t="str">
        <f ca="1">IF($H24=リスト!$AA$4,"-",
   IF($C24="-","-",
     IF(X$4&gt;$P24,"-",
       IF(X$4=1,$E24,OFFSET(X24,0,-2)-OFFSET(X24,0,-1)
))))</f>
        <v>-</v>
      </c>
      <c r="Y24" s="57" t="str">
        <f>IF($H24=リスト!$AA$4,"-",
 IF($C24="-","-",
  IF(X$4&gt;$P24,"-",
   CHOOSE(MATCH($H$3,リスト!$AE$3:$AE$5,0),
    ROUNDUP(
      X24*IF(X24*$I24&lt;=$L24,$J24,$I24)*
      IF($P24=1,
         $S24/12,
         IF(X$4=1,
            $T24/12,
            IF(X$4=$P24,
               $U24/12,
               1
      ))),0),
    ROUNDDOWN(
      X24*IF(X24*$I24&lt;=$L24,$J24,$I24)*
      IF($P24=1,
         $S24/12,
         IF(X$4=1,
            $T24/12,
            IF(X$4=$P24,
               $U24/12,
               1
      ))),0),
    ROUND(
      X24*IF(X24*$I24&lt;=$L24,$J24,$I24)*
      IF($P24=1,
         $S24/12,
         IF(X$4=1,
            $T24/12,
            IF(X$4=$P24,
               $U24/12,
               1
      ))),0)
))))</f>
        <v>-</v>
      </c>
      <c r="Z24" s="56" t="str">
        <f ca="1">IF($H24=リスト!$AA$4,"-",
   IF($C24="-","-",
     IF(Z$4&gt;$P24,"-",
       IF(Z$4=1,$E24,OFFSET(Z24,0,-2)-OFFSET(Z24,0,-1)
))))</f>
        <v>-</v>
      </c>
      <c r="AA24" s="57" t="str">
        <f>IF($H24=リスト!$AA$4,"-",
 IF($C24="-","-",
  IF(Z$4&gt;$P24,"-",
   CHOOSE(MATCH($H$3,リスト!$AE$3:$AE$5,0),
    ROUNDUP(
      Z24*IF(Z24*$I24&lt;=$L24,$J24,$I24)*
      IF($P24=1,
         $S24/12,
         IF(Z$4=1,
            $T24/12,
            IF(Z$4=$P24,
               $U24/12,
               1
      ))),0),
    ROUNDDOWN(
      Z24*IF(Z24*$I24&lt;=$L24,$J24,$I24)*
      IF($P24=1,
         $S24/12,
         IF(Z$4=1,
            $T24/12,
            IF(Z$4=$P24,
               $U24/12,
               1
      ))),0),
    ROUND(
      Z24*IF(Z24*$I24&lt;=$L24,$J24,$I24)*
      IF($P24=1,
         $S24/12,
         IF(Z$4=1,
            $T24/12,
            IF(Z$4=$P24,
               $U24/12,
               1
      ))),0)
))))</f>
        <v>-</v>
      </c>
      <c r="AB24" s="56" t="str">
        <f ca="1">IF($H24=リスト!$AA$4,"-",
   IF($C24="-","-",
     IF(AB$4&gt;$P24,"-",
       IF(AB$4=1,$E24,OFFSET(AB24,0,-2)-OFFSET(AB24,0,-1)
))))</f>
        <v>-</v>
      </c>
      <c r="AC24" s="57" t="str">
        <f>IF($H24=リスト!$AA$4,"-",
 IF($C24="-","-",
  IF(AB$4&gt;$P24,"-",
   CHOOSE(MATCH($H$3,リスト!$AE$3:$AE$5,0),
    ROUNDUP(
      AB24*IF(AB24*$I24&lt;=$L24,$J24,$I24)*
      IF($P24=1,
         $S24/12,
         IF(AB$4=1,
            $T24/12,
            IF(AB$4=$P24,
               $U24/12,
               1
      ))),0),
    ROUNDDOWN(
      AB24*IF(AB24*$I24&lt;=$L24,$J24,$I24)*
      IF($P24=1,
         $S24/12,
         IF(AB$4=1,
            $T24/12,
            IF(AB$4=$P24,
               $U24/12,
               1
      ))),0),
    ROUND(
      AB24*IF(AB24*$I24&lt;=$L24,$J24,$I24)*
      IF($P24=1,
         $S24/12,
         IF(AB$4=1,
            $T24/12,
            IF(AB$4=$P24,
               $U24/12,
               1
      ))),0)
))))</f>
        <v>-</v>
      </c>
      <c r="AD24" s="56" t="str">
        <f ca="1">IF($H24=リスト!$AA$4,"-",
   IF($C24="-","-",
     IF(AD$4&gt;$P24,"-",
       IF(AD$4=1,$E24,OFFSET(AD24,0,-2)-OFFSET(AD24,0,-1)
))))</f>
        <v>-</v>
      </c>
      <c r="AE24" s="57" t="str">
        <f>IF($H24=リスト!$AA$4,"-",
 IF($C24="-","-",
  IF(AD$4&gt;$P24,"-",
   CHOOSE(MATCH($H$3,リスト!$AE$3:$AE$5,0),
    ROUNDUP(
      AD24*IF(AD24*$I24&lt;=$L24,$J24,$I24)*
      IF($P24=1,
         $S24/12,
         IF(AD$4=1,
            $T24/12,
            IF(AD$4=$P24,
               $U24/12,
               1
      ))),0),
    ROUNDDOWN(
      AD24*IF(AD24*$I24&lt;=$L24,$J24,$I24)*
      IF($P24=1,
         $S24/12,
         IF(AD$4=1,
            $T24/12,
            IF(AD$4=$P24,
               $U24/12,
               1
      ))),0),
    ROUND(
      AD24*IF(AD24*$I24&lt;=$L24,$J24,$I24)*
      IF($P24=1,
         $S24/12,
         IF(AD$4=1,
            $T24/12,
            IF(AD$4=$P24,
               $U24/12,
               1
      ))),0)
))))</f>
        <v>-</v>
      </c>
      <c r="AF24" s="56" t="str">
        <f ca="1">IF($H24=リスト!$AA$4,"-",
   IF($C24="-","-",
     IF(AF$4&gt;$P24,"-",
       IF(AF$4=1,$E24,OFFSET(AF24,0,-2)-OFFSET(AF24,0,-1)
))))</f>
        <v>-</v>
      </c>
      <c r="AG24" s="57" t="str">
        <f>IF($H24=リスト!$AA$4,"-",
 IF($C24="-","-",
  IF(AF$4&gt;$P24,"-",
   CHOOSE(MATCH($H$3,リスト!$AE$3:$AE$5,0),
    ROUNDUP(
      AF24*IF(AF24*$I24&lt;=$L24,$J24,$I24)*
      IF($P24=1,
         $S24/12,
         IF(AF$4=1,
            $T24/12,
            IF(AF$4=$P24,
               $U24/12,
               1
      ))),0),
    ROUNDDOWN(
      AF24*IF(AF24*$I24&lt;=$L24,$J24,$I24)*
      IF($P24=1,
         $S24/12,
         IF(AF$4=1,
            $T24/12,
            IF(AF$4=$P24,
               $U24/12,
               1
      ))),0),
    ROUND(
      AF24*IF(AF24*$I24&lt;=$L24,$J24,$I24)*
      IF($P24=1,
         $S24/12,
         IF(AF$4=1,
            $T24/12,
            IF(AF$4=$P24,
               $U24/12,
               1
      ))),0)
))))</f>
        <v>-</v>
      </c>
      <c r="AH24" s="56" t="str">
        <f ca="1">IF($H24=リスト!$AA$4,"-",
   IF($C24="-","-",
     IF(AH$4&gt;$P24,"-",
       IF(AH$4=1,$E24,OFFSET(AH24,0,-2)-OFFSET(AH24,0,-1)
))))</f>
        <v>-</v>
      </c>
      <c r="AI24" s="57" t="str">
        <f>IF($H24=リスト!$AA$4,"-",
 IF($C24="-","-",
  IF(AH$4&gt;$P24,"-",
   CHOOSE(MATCH($H$3,リスト!$AE$3:$AE$5,0),
    ROUNDUP(
      AH24*IF(AH24*$I24&lt;=$L24,$J24,$I24)*
      IF($P24=1,
         $S24/12,
         IF(AH$4=1,
            $T24/12,
            IF(AH$4=$P24,
               $U24/12,
               1
      ))),0),
    ROUNDDOWN(
      AH24*IF(AH24*$I24&lt;=$L24,$J24,$I24)*
      IF($P24=1,
         $S24/12,
         IF(AH$4=1,
            $T24/12,
            IF(AH$4=$P24,
               $U24/12,
               1
      ))),0),
    ROUND(
      AH24*IF(AH24*$I24&lt;=$L24,$J24,$I24)*
      IF($P24=1,
         $S24/12,
         IF(AH$4=1,
            $T24/12,
            IF(AH$4=$P24,
               $U24/12,
               1
      ))),0)
))))</f>
        <v>-</v>
      </c>
      <c r="AJ24" s="56" t="str">
        <f ca="1">IF($H24=リスト!$AA$4,"-",
   IF($C24="-","-",
     IF(AJ$4&gt;$P24,"-",
       IF(AJ$4=1,$E24,OFFSET(AJ24,0,-2)-OFFSET(AJ24,0,-1)
))))</f>
        <v>-</v>
      </c>
      <c r="AK24" s="57" t="str">
        <f>IF($H24=リスト!$AA$4,"-",
 IF($C24="-","-",
  IF(AJ$4&gt;$P24,"-",
   CHOOSE(MATCH($H$3,リスト!$AE$3:$AE$5,0),
    ROUNDUP(
      AJ24*IF(AJ24*$I24&lt;=$L24,$J24,$I24)*
      IF($P24=1,
         $S24/12,
         IF(AJ$4=1,
            $T24/12,
            IF(AJ$4=$P24,
               $U24/12,
               1
      ))),0),
    ROUNDDOWN(
      AJ24*IF(AJ24*$I24&lt;=$L24,$J24,$I24)*
      IF($P24=1,
         $S24/12,
         IF(AJ$4=1,
            $T24/12,
            IF(AJ$4=$P24,
               $U24/12,
               1
      ))),0),
    ROUND(
      AJ24*IF(AJ24*$I24&lt;=$L24,$J24,$I24)*
      IF($P24=1,
         $S24/12,
         IF(AJ$4=1,
            $T24/12,
            IF(AJ$4=$P24,
               $U24/12,
               1
      ))),0)
))))</f>
        <v>-</v>
      </c>
      <c r="AL24" s="56" t="str">
        <f ca="1">IF($H24=リスト!$AA$4,"-",
   IF($C24="-","-",
     IF(AL$4&gt;$P24,"-",
       IF(AL$4=1,$E24,OFFSET(AL24,0,-2)-OFFSET(AL24,0,-1)
))))</f>
        <v>-</v>
      </c>
      <c r="AM24" s="57" t="str">
        <f>IF($H24=リスト!$AA$4,"-",
 IF($C24="-","-",
  IF(AL$4&gt;$P24,"-",
   CHOOSE(MATCH($H$3,リスト!$AE$3:$AE$5,0),
    ROUNDUP(
      AL24*IF(AL24*$I24&lt;=$L24,$J24,$I24)*
      IF($P24=1,
         $S24/12,
         IF(AL$4=1,
            $T24/12,
            IF(AL$4=$P24,
               $U24/12,
               1
      ))),0),
    ROUNDDOWN(
      AL24*IF(AL24*$I24&lt;=$L24,$J24,$I24)*
      IF($P24=1,
         $S24/12,
         IF(AL$4=1,
            $T24/12,
            IF(AL$4=$P24,
               $U24/12,
               1
      ))),0),
    ROUND(
      AL24*IF(AL24*$I24&lt;=$L24,$J24,$I24)*
      IF($P24=1,
         $S24/12,
         IF(AL$4=1,
            $T24/12,
            IF(AL$4=$P24,
               $U24/12,
               1
      ))),0)
))))</f>
        <v>-</v>
      </c>
      <c r="AN24" s="56" t="str">
        <f ca="1">IF($H24=リスト!$AA$4,"-",
   IF($C24="-","-",
     IF(AN$4&gt;$P24,"-",
       IF(AN$4=1,$E24,OFFSET(AN24,0,-2)-OFFSET(AN24,0,-1)
))))</f>
        <v>-</v>
      </c>
      <c r="AO24" s="57" t="str">
        <f>IF($H24=リスト!$AA$4,"-",
 IF($C24="-","-",
  IF(AN$4&gt;$P24,"-",
   CHOOSE(MATCH($H$3,リスト!$AE$3:$AE$5,0),
    ROUNDUP(
      AN24*IF(AN24*$I24&lt;=$L24,$J24,$I24)*
      IF($P24=1,
         $S24/12,
         IF(AN$4=1,
            $T24/12,
            IF(AN$4=$P24,
               $U24/12,
               1
      ))),0),
    ROUNDDOWN(
      AN24*IF(AN24*$I24&lt;=$L24,$J24,$I24)*
      IF($P24=1,
         $S24/12,
         IF(AN$4=1,
            $T24/12,
            IF(AN$4=$P24,
               $U24/12,
               1
      ))),0),
    ROUND(
      AN24*IF(AN24*$I24&lt;=$L24,$J24,$I24)*
      IF($P24=1,
         $S24/12,
         IF(AN$4=1,
            $T24/12,
            IF(AN$4=$P24,
               $U24/12,
               1
      ))),0)
))))</f>
        <v>-</v>
      </c>
      <c r="AP24" s="56" t="str">
        <f ca="1">IF($H24=リスト!$AA$4,"-",
   IF($C24="-","-",
     IF(AP$4&gt;$P24,"-",
       IF(AP$4=1,$E24,OFFSET(AP24,0,-2)-OFFSET(AP24,0,-1)
))))</f>
        <v>-</v>
      </c>
      <c r="AQ24" s="57" t="str">
        <f>IF($H24=リスト!$AA$4,"-",
 IF($C24="-","-",
  IF(AP$4&gt;$P24,"-",
   CHOOSE(MATCH($H$3,リスト!$AE$3:$AE$5,0),
    ROUNDUP(
      AP24*IF(AP24*$I24&lt;=$L24,$J24,$I24)*
      IF($P24=1,
         $S24/12,
         IF(AP$4=1,
            $T24/12,
            IF(AP$4=$P24,
               $U24/12,
               1
      ))),0),
    ROUNDDOWN(
      AP24*IF(AP24*$I24&lt;=$L24,$J24,$I24)*
      IF($P24=1,
         $S24/12,
         IF(AP$4=1,
            $T24/12,
            IF(AP$4=$P24,
               $U24/12,
               1
      ))),0),
    ROUND(
      AP24*IF(AP24*$I24&lt;=$L24,$J24,$I24)*
      IF($P24=1,
         $S24/12,
         IF(AP$4=1,
            $T24/12,
            IF(AP$4=$P24,
               $U24/12,
               1
      ))),0)
))))</f>
        <v>-</v>
      </c>
      <c r="AR24" s="56" t="str">
        <f ca="1">IF($H24=リスト!$AA$4,"-",
   IF($C24="-","-",
     IF(AR$4&gt;$P24,"-",
       IF(AR$4=1,$E24,OFFSET(AR24,0,-2)-OFFSET(AR24,0,-1)
))))</f>
        <v>-</v>
      </c>
      <c r="AS24" s="57" t="str">
        <f>IF($H24=リスト!$AA$4,"-",
 IF($C24="-","-",
  IF(AR$4&gt;$P24,"-",
   CHOOSE(MATCH($H$3,リスト!$AE$3:$AE$5,0),
    ROUNDUP(
      AR24*IF(AR24*$I24&lt;=$L24,$J24,$I24)*
      IF($P24=1,
         $S24/12,
         IF(AR$4=1,
            $T24/12,
            IF(AR$4=$P24,
               $U24/12,
               1
      ))),0),
    ROUNDDOWN(
      AR24*IF(AR24*$I24&lt;=$L24,$J24,$I24)*
      IF($P24=1,
         $S24/12,
         IF(AR$4=1,
            $T24/12,
            IF(AR$4=$P24,
               $U24/12,
               1
      ))),0),
    ROUND(
      AR24*IF(AR24*$I24&lt;=$L24,$J24,$I24)*
      IF($P24=1,
         $S24/12,
         IF(AR$4=1,
            $T24/12,
            IF(AR$4=$P24,
               $U24/12,
               1
      ))),0)
))))</f>
        <v>-</v>
      </c>
      <c r="AT24" s="56" t="str">
        <f ca="1">IF($H24=リスト!$AA$4,"-",
   IF($C24="-","-",
     IF(AT$4&gt;$P24,"-",
       IF(AT$4=1,$E24,OFFSET(AT24,0,-2)-OFFSET(AT24,0,-1)
))))</f>
        <v>-</v>
      </c>
      <c r="AU24" s="57" t="str">
        <f>IF($H24=リスト!$AA$4,"-",
 IF($C24="-","-",
  IF(AT$4&gt;$P24,"-",
   CHOOSE(MATCH($H$3,リスト!$AE$3:$AE$5,0),
    ROUNDUP(
      AT24*IF(AT24*$I24&lt;=$L24,$J24,$I24)*
      IF($P24=1,
         $S24/12,
         IF(AT$4=1,
            $T24/12,
            IF(AT$4=$P24,
               $U24/12,
               1
      ))),0),
    ROUNDDOWN(
      AT24*IF(AT24*$I24&lt;=$L24,$J24,$I24)*
      IF($P24=1,
         $S24/12,
         IF(AT$4=1,
            $T24/12,
            IF(AT$4=$P24,
               $U24/12,
               1
      ))),0),
    ROUND(
      AT24*IF(AT24*$I24&lt;=$L24,$J24,$I24)*
      IF($P24=1,
         $S24/12,
         IF(AT$4=1,
            $T24/12,
            IF(AT$4=$P24,
               $U24/12,
               1
      ))),0)
))))</f>
        <v>-</v>
      </c>
      <c r="AV24" s="56" t="str">
        <f ca="1">IF($H24=リスト!$AA$4,"-",
   IF($C24="-","-",
     IF(AV$4&gt;$P24,"-",
       IF(AV$4=1,$E24,OFFSET(AV24,0,-2)-OFFSET(AV24,0,-1)
))))</f>
        <v>-</v>
      </c>
      <c r="AW24" s="57" t="str">
        <f>IF($H24=リスト!$AA$4,"-",
 IF($C24="-","-",
  IF(AV$4&gt;$P24,"-",
   CHOOSE(MATCH($H$3,リスト!$AE$3:$AE$5,0),
    ROUNDUP(
      AV24*IF(AV24*$I24&lt;=$L24,$J24,$I24)*
      IF($P24=1,
         $S24/12,
         IF(AV$4=1,
            $T24/12,
            IF(AV$4=$P24,
               $U24/12,
               1
      ))),0),
    ROUNDDOWN(
      AV24*IF(AV24*$I24&lt;=$L24,$J24,$I24)*
      IF($P24=1,
         $S24/12,
         IF(AV$4=1,
            $T24/12,
            IF(AV$4=$P24,
               $U24/12,
               1
      ))),0),
    ROUND(
      AV24*IF(AV24*$I24&lt;=$L24,$J24,$I24)*
      IF($P24=1,
         $S24/12,
         IF(AV$4=1,
            $T24/12,
            IF(AV$4=$P24,
               $U24/12,
               1
      ))),0)
))))</f>
        <v>-</v>
      </c>
      <c r="AX24" s="56" t="str">
        <f ca="1">IF($H24=リスト!$AA$4,"-",
   IF($C24="-","-",
     IF(AX$4&gt;$P24,"-",
       IF(AX$4=1,$E24,OFFSET(AX24,0,-2)-OFFSET(AX24,0,-1)
))))</f>
        <v>-</v>
      </c>
      <c r="AY24" s="57" t="str">
        <f>IF($H24=リスト!$AA$4,"-",
 IF($C24="-","-",
  IF(AX$4&gt;$P24,"-",
   CHOOSE(MATCH($H$3,リスト!$AE$3:$AE$5,0),
    ROUNDUP(
      AX24*IF(AX24*$I24&lt;=$L24,$J24,$I24)*
      IF($P24=1,
         $S24/12,
         IF(AX$4=1,
            $T24/12,
            IF(AX$4=$P24,
               $U24/12,
               1
      ))),0),
    ROUNDDOWN(
      AX24*IF(AX24*$I24&lt;=$L24,$J24,$I24)*
      IF($P24=1,
         $S24/12,
         IF(AX$4=1,
            $T24/12,
            IF(AX$4=$P24,
               $U24/12,
               1
      ))),0),
    ROUND(
      AX24*IF(AX24*$I24&lt;=$L24,$J24,$I24)*
      IF($P24=1,
         $S24/12,
         IF(AX$4=1,
            $T24/12,
            IF(AX$4=$P24,
               $U24/12,
               1
      ))),0)
))))</f>
        <v>-</v>
      </c>
      <c r="AZ24" s="56" t="str">
        <f ca="1">IF($H24=リスト!$AA$4,"-",
   IF($C24="-","-",
     IF(AZ$4&gt;$P24,"-",
       IF(AZ$4=1,$E24,OFFSET(AZ24,0,-2)-OFFSET(AZ24,0,-1)
))))</f>
        <v>-</v>
      </c>
      <c r="BA24" s="57" t="str">
        <f>IF($H24=リスト!$AA$4,"-",
 IF($C24="-","-",
  IF(AZ$4&gt;$P24,"-",
   CHOOSE(MATCH($H$3,リスト!$AE$3:$AE$5,0),
    ROUNDUP(
      AZ24*IF(AZ24*$I24&lt;=$L24,$J24,$I24)*
      IF($P24=1,
         $S24/12,
         IF(AZ$4=1,
            $T24/12,
            IF(AZ$4=$P24,
               $U24/12,
               1
      ))),0),
    ROUNDDOWN(
      AZ24*IF(AZ24*$I24&lt;=$L24,$J24,$I24)*
      IF($P24=1,
         $S24/12,
         IF(AZ$4=1,
            $T24/12,
            IF(AZ$4=$P24,
               $U24/12,
               1
      ))),0),
    ROUND(
      AZ24*IF(AZ24*$I24&lt;=$L24,$J24,$I24)*
      IF($P24=1,
         $S24/12,
         IF(AZ$4=1,
            $T24/12,
            IF(AZ$4=$P24,
               $U24/12,
               1
      ))),0)
))))</f>
        <v>-</v>
      </c>
      <c r="BB24" s="56" t="str">
        <f ca="1">IF($H24=リスト!$AA$4,"-",
   IF($C24="-","-",
     IF(BB$4&gt;$P24,"-",
       IF(BB$4=1,$E24,OFFSET(BB24,0,-2)-OFFSET(BB24,0,-1)
))))</f>
        <v>-</v>
      </c>
      <c r="BC24" s="57" t="str">
        <f>IF($H24=リスト!$AA$4,"-",
 IF($C24="-","-",
  IF(BB$4&gt;$P24,"-",
   CHOOSE(MATCH($H$3,リスト!$AE$3:$AE$5,0),
    ROUNDUP(
      BB24*IF(BB24*$I24&lt;=$L24,$J24,$I24)*
      IF($P24=1,
         $S24/12,
         IF(BB$4=1,
            $T24/12,
            IF(BB$4=$P24,
               $U24/12,
               1
      ))),0),
    ROUNDDOWN(
      BB24*IF(BB24*$I24&lt;=$L24,$J24,$I24)*
      IF($P24=1,
         $S24/12,
         IF(BB$4=1,
            $T24/12,
            IF(BB$4=$P24,
               $U24/12,
               1
      ))),0),
    ROUND(
      BB24*IF(BB24*$I24&lt;=$L24,$J24,$I24)*
      IF($P24=1,
         $S24/12,
         IF(BB$4=1,
            $T24/12,
            IF(BB$4=$P24,
               $U24/12,
               1
      ))),0)
))))</f>
        <v>-</v>
      </c>
      <c r="BD24" s="56" t="str">
        <f ca="1">IF($H24=リスト!$AA$4,"-",
   IF($C24="-","-",
     IF(BD$4&gt;$P24,"-",
       IF(BD$4=1,$E24,OFFSET(BD24,0,-2)-OFFSET(BD24,0,-1)
))))</f>
        <v>-</v>
      </c>
      <c r="BE24" s="57" t="str">
        <f>IF($H24=リスト!$AA$4,"-",
 IF($C24="-","-",
  IF(BD$4&gt;$P24,"-",
   CHOOSE(MATCH($H$3,リスト!$AE$3:$AE$5,0),
    ROUNDUP(
      BD24*IF(BD24*$I24&lt;=$L24,$J24,$I24)*
      IF($P24=1,
         $S24/12,
         IF(BD$4=1,
            $T24/12,
            IF(BD$4=$P24,
               $U24/12,
               1
      ))),0),
    ROUNDDOWN(
      BD24*IF(BD24*$I24&lt;=$L24,$J24,$I24)*
      IF($P24=1,
         $S24/12,
         IF(BD$4=1,
            $T24/12,
            IF(BD$4=$P24,
               $U24/12,
               1
      ))),0),
    ROUND(
      BD24*IF(BD24*$I24&lt;=$L24,$J24,$I24)*
      IF($P24=1,
         $S24/12,
         IF(BD$4=1,
            $T24/12,
            IF(BD$4=$P24,
               $U24/12,
               1
      ))),0)
))))</f>
        <v>-</v>
      </c>
      <c r="BF24" s="56" t="str">
        <f ca="1">IF($H24=リスト!$AA$4,"-",
   IF($C24="-","-",
     IF(BF$4&gt;$P24,"-",
       IF(BF$4=1,$E24,OFFSET(BF24,0,-2)-OFFSET(BF24,0,-1)
))))</f>
        <v>-</v>
      </c>
      <c r="BG24" s="57" t="str">
        <f>IF($H24=リスト!$AA$4,"-",
 IF($C24="-","-",
  IF(BF$4&gt;$P24,"-",
   CHOOSE(MATCH($H$3,リスト!$AE$3:$AE$5,0),
    ROUNDUP(
      BF24*IF(BF24*$I24&lt;=$L24,$J24,$I24)*
      IF($P24=1,
         $S24/12,
         IF(BF$4=1,
            $T24/12,
            IF(BF$4=$P24,
               $U24/12,
               1
      ))),0),
    ROUNDDOWN(
      BF24*IF(BF24*$I24&lt;=$L24,$J24,$I24)*
      IF($P24=1,
         $S24/12,
         IF(BF$4=1,
            $T24/12,
            IF(BF$4=$P24,
               $U24/12,
               1
      ))),0),
    ROUND(
      BF24*IF(BF24*$I24&lt;=$L24,$J24,$I24)*
      IF($P24=1,
         $S24/12,
         IF(BF$4=1,
            $T24/12,
            IF(BF$4=$P24,
               $U24/12,
               1
      ))),0)
))))</f>
        <v>-</v>
      </c>
      <c r="BH24" s="56" t="str">
        <f ca="1">IF($H24=リスト!$AA$4,"-",
   IF($C24="-","-",
     IF(BH$4&gt;$P24,"-",
       IF(BH$4=1,$E24,OFFSET(BH24,0,-2)-OFFSET(BH24,0,-1)
))))</f>
        <v>-</v>
      </c>
      <c r="BI24" s="57" t="str">
        <f>IF($H24=リスト!$AA$4,"-",
 IF($C24="-","-",
  IF(BH$4&gt;$P24,"-",
   CHOOSE(MATCH($H$3,リスト!$AE$3:$AE$5,0),
    ROUNDUP(
      BH24*IF(BH24*$I24&lt;=$L24,$J24,$I24)*
      IF($P24=1,
         $S24/12,
         IF(BH$4=1,
            $T24/12,
            IF(BH$4=$P24,
               $U24/12,
               1
      ))),0),
    ROUNDDOWN(
      BH24*IF(BH24*$I24&lt;=$L24,$J24,$I24)*
      IF($P24=1,
         $S24/12,
         IF(BH$4=1,
            $T24/12,
            IF(BH$4=$P24,
               $U24/12,
               1
      ))),0),
    ROUND(
      BH24*IF(BH24*$I24&lt;=$L24,$J24,$I24)*
      IF($P24=1,
         $S24/12,
         IF(BH$4=1,
            $T24/12,
            IF(BH$4=$P24,
               $U24/12,
               1
      ))),0)
))))</f>
        <v>-</v>
      </c>
      <c r="BJ24" s="56" t="str">
        <f ca="1">IF($H24=リスト!$AA$4,"-",
   IF($C24="-","-",
     IF(BJ$4&gt;$P24,"-",
       IF(BJ$4=1,$E24,OFFSET(BJ24,0,-2)-OFFSET(BJ24,0,-1)
))))</f>
        <v>-</v>
      </c>
      <c r="BK24" s="57" t="str">
        <f>IF($H24=リスト!$AA$4,"-",
 IF($C24="-","-",
  IF(BJ$4&gt;$P24,"-",
   CHOOSE(MATCH($H$3,リスト!$AE$3:$AE$5,0),
    ROUNDUP(
      BJ24*IF(BJ24*$I24&lt;=$L24,$J24,$I24)*
      IF($P24=1,
         $S24/12,
         IF(BJ$4=1,
            $T24/12,
            IF(BJ$4=$P24,
               $U24/12,
               1
      ))),0),
    ROUNDDOWN(
      BJ24*IF(BJ24*$I24&lt;=$L24,$J24,$I24)*
      IF($P24=1,
         $S24/12,
         IF(BJ$4=1,
            $T24/12,
            IF(BJ$4=$P24,
               $U24/12,
               1
      ))),0),
    ROUND(
      BJ24*IF(BJ24*$I24&lt;=$L24,$J24,$I24)*
      IF($P24=1,
         $S24/12,
         IF(BJ$4=1,
            $T24/12,
            IF(BJ$4=$P24,
               $U24/12,
               1
      ))),0)
))))</f>
        <v>-</v>
      </c>
      <c r="BL24" s="56" t="str">
        <f ca="1">IF($H24=リスト!$AA$4,"-",
   IF($C24="-","-",
     IF(BL$4&gt;$P24,"-",
       IF(BL$4=1,$E24,OFFSET(BL24,0,-2)-OFFSET(BL24,0,-1)
))))</f>
        <v>-</v>
      </c>
      <c r="BM24" s="57" t="str">
        <f>IF($H24=リスト!$AA$4,"-",
 IF($C24="-","-",
  IF(BL$4&gt;$P24,"-",
   CHOOSE(MATCH($H$3,リスト!$AE$3:$AE$5,0),
    ROUNDUP(
      BL24*IF(BL24*$I24&lt;=$L24,$J24,$I24)*
      IF($P24=1,
         $S24/12,
         IF(BL$4=1,
            $T24/12,
            IF(BL$4=$P24,
               $U24/12,
               1
      ))),0),
    ROUNDDOWN(
      BL24*IF(BL24*$I24&lt;=$L24,$J24,$I24)*
      IF($P24=1,
         $S24/12,
         IF(BL$4=1,
            $T24/12,
            IF(BL$4=$P24,
               $U24/12,
               1
      ))),0),
    ROUND(
      BL24*IF(BL24*$I24&lt;=$L24,$J24,$I24)*
      IF($P24=1,
         $S24/12,
         IF(BL$4=1,
            $T24/12,
            IF(BL$4=$P24,
               $U24/12,
               1
      ))),0)
))))</f>
        <v>-</v>
      </c>
      <c r="BN24" s="56" t="str">
        <f ca="1">IF($H24=リスト!$AA$4,"-",
   IF($C24="-","-",
     IF(BN$4&gt;$P24,"-",
       IF(BN$4=1,$E24,OFFSET(BN24,0,-2)-OFFSET(BN24,0,-1)
))))</f>
        <v>-</v>
      </c>
      <c r="BO24" s="57" t="str">
        <f>IF($H24=リスト!$AA$4,"-",
 IF($C24="-","-",
  IF(BN$4&gt;$P24,"-",
   CHOOSE(MATCH($H$3,リスト!$AE$3:$AE$5,0),
    ROUNDUP(
      BN24*IF(BN24*$I24&lt;=$L24,$J24,$I24)*
      IF($P24=1,
         $S24/12,
         IF(BN$4=1,
            $T24/12,
            IF(BN$4=$P24,
               $U24/12,
               1
      ))),0),
    ROUNDDOWN(
      BN24*IF(BN24*$I24&lt;=$L24,$J24,$I24)*
      IF($P24=1,
         $S24/12,
         IF(BN$4=1,
            $T24/12,
            IF(BN$4=$P24,
               $U24/12,
               1
      ))),0),
    ROUND(
      BN24*IF(BN24*$I24&lt;=$L24,$J24,$I24)*
      IF($P24=1,
         $S24/12,
         IF(BN$4=1,
            $T24/12,
            IF(BN$4=$P24,
               $U24/12,
               1
      ))),0)
))))</f>
        <v>-</v>
      </c>
      <c r="BP24" s="56" t="str">
        <f ca="1">IF($H24=リスト!$AA$4,"-",
   IF($C24="-","-",
     IF(BP$4&gt;$P24,"-",
       IF(BP$4=1,$E24,OFFSET(BP24,0,-2)-OFFSET(BP24,0,-1)
))))</f>
        <v>-</v>
      </c>
      <c r="BQ24" s="57" t="str">
        <f>IF($H24=リスト!$AA$4,"-",
 IF($C24="-","-",
  IF(BP$4&gt;$P24,"-",
   CHOOSE(MATCH($H$3,リスト!$AE$3:$AE$5,0),
    ROUNDUP(
      BP24*IF(BP24*$I24&lt;=$L24,$J24,$I24)*
      IF($P24=1,
         $S24/12,
         IF(BP$4=1,
            $T24/12,
            IF(BP$4=$P24,
               $U24/12,
               1
      ))),0),
    ROUNDDOWN(
      BP24*IF(BP24*$I24&lt;=$L24,$J24,$I24)*
      IF($P24=1,
         $S24/12,
         IF(BP$4=1,
            $T24/12,
            IF(BP$4=$P24,
               $U24/12,
               1
      ))),0),
    ROUND(
      BP24*IF(BP24*$I24&lt;=$L24,$J24,$I24)*
      IF($P24=1,
         $S24/12,
         IF(BP$4=1,
            $T24/12,
            IF(BP$4=$P24,
               $U24/12,
               1
      ))),0)
))))</f>
        <v>-</v>
      </c>
      <c r="BR24" s="56" t="str">
        <f ca="1">IF($H24=リスト!$AA$4,"-",
   IF($C24="-","-",
     IF(BR$4&gt;$P24,"-",
       IF(BR$4=1,$E24,OFFSET(BR24,0,-2)-OFFSET(BR24,0,-1)
))))</f>
        <v>-</v>
      </c>
      <c r="BS24" s="57" t="str">
        <f>IF($H24=リスト!$AA$4,"-",
 IF($C24="-","-",
  IF(BR$4&gt;$P24,"-",
   CHOOSE(MATCH($H$3,リスト!$AE$3:$AE$5,0),
    ROUNDUP(
      BR24*IF(BR24*$I24&lt;=$L24,$J24,$I24)*
      IF($P24=1,
         $S24/12,
         IF(BR$4=1,
            $T24/12,
            IF(BR$4=$P24,
               $U24/12,
               1
      ))),0),
    ROUNDDOWN(
      BR24*IF(BR24*$I24&lt;=$L24,$J24,$I24)*
      IF($P24=1,
         $S24/12,
         IF(BR$4=1,
            $T24/12,
            IF(BR$4=$P24,
               $U24/12,
               1
      ))),0),
    ROUND(
      BR24*IF(BR24*$I24&lt;=$L24,$J24,$I24)*
      IF($P24=1,
         $S24/12,
         IF(BR$4=1,
            $T24/12,
            IF(BR$4=$P24,
               $U24/12,
               1
      ))),0)
))))</f>
        <v>-</v>
      </c>
      <c r="BT24" s="56" t="str">
        <f ca="1">IF($H24=リスト!$AA$4,"-",
   IF($C24="-","-",
     IF(BT$4&gt;$P24,"-",
       IF(BT$4=1,$E24,OFFSET(BT24,0,-2)-OFFSET(BT24,0,-1)
))))</f>
        <v>-</v>
      </c>
      <c r="BU24" s="57" t="str">
        <f>IF($H24=リスト!$AA$4,"-",
 IF($C24="-","-",
  IF(BT$4&gt;$P24,"-",
   CHOOSE(MATCH($H$3,リスト!$AE$3:$AE$5,0),
    ROUNDUP(
      BT24*IF(BT24*$I24&lt;=$L24,$J24,$I24)*
      IF($P24=1,
         $S24/12,
         IF(BT$4=1,
            $T24/12,
            IF(BT$4=$P24,
               $U24/12,
               1
      ))),0),
    ROUNDDOWN(
      BT24*IF(BT24*$I24&lt;=$L24,$J24,$I24)*
      IF($P24=1,
         $S24/12,
         IF(BT$4=1,
            $T24/12,
            IF(BT$4=$P24,
               $U24/12,
               1
      ))),0),
    ROUND(
      BT24*IF(BT24*$I24&lt;=$L24,$J24,$I24)*
      IF($P24=1,
         $S24/12,
         IF(BT$4=1,
            $T24/12,
            IF(BT$4=$P24,
               $U24/12,
               1
      ))),0)
))))</f>
        <v>-</v>
      </c>
      <c r="BV24" s="56" t="str">
        <f ca="1">IF($H24=リスト!$AA$4,"-",
   IF($C24="-","-",
     IF(BV$4&gt;$P24,"-",
       IF(BV$4=1,$E24,OFFSET(BV24,0,-2)-OFFSET(BV24,0,-1)
))))</f>
        <v>-</v>
      </c>
      <c r="BW24" s="57" t="str">
        <f>IF($H24=リスト!$AA$4,"-",
 IF($C24="-","-",
  IF(BV$4&gt;$P24,"-",
   CHOOSE(MATCH($H$3,リスト!$AE$3:$AE$5,0),
    ROUNDUP(
      BV24*IF(BV24*$I24&lt;=$L24,$J24,$I24)*
      IF($P24=1,
         $S24/12,
         IF(BV$4=1,
            $T24/12,
            IF(BV$4=$P24,
               $U24/12,
               1
      ))),0),
    ROUNDDOWN(
      BV24*IF(BV24*$I24&lt;=$L24,$J24,$I24)*
      IF($P24=1,
         $S24/12,
         IF(BV$4=1,
            $T24/12,
            IF(BV$4=$P24,
               $U24/12,
               1
      ))),0),
    ROUND(
      BV24*IF(BV24*$I24&lt;=$L24,$J24,$I24)*
      IF($P24=1,
         $S24/12,
         IF(BV$4=1,
            $T24/12,
            IF(BV$4=$P24,
               $U24/12,
               1
      ))),0)
))))</f>
        <v>-</v>
      </c>
      <c r="BX24" s="56" t="str">
        <f ca="1">IF($H24=リスト!$AA$4,"-",
   IF($C24="-","-",
     IF(BX$4&gt;$P24,"-",
       IF(BX$4=1,$E24,OFFSET(BX24,0,-2)-OFFSET(BX24,0,-1)
))))</f>
        <v>-</v>
      </c>
      <c r="BY24" s="57" t="str">
        <f>IF($H24=リスト!$AA$4,"-",
 IF($C24="-","-",
  IF(BX$4&gt;$P24,"-",
   CHOOSE(MATCH($H$3,リスト!$AE$3:$AE$5,0),
    ROUNDUP(
      BX24*IF(BX24*$I24&lt;=$L24,$J24,$I24)*
      IF($P24=1,
         $S24/12,
         IF(BX$4=1,
            $T24/12,
            IF(BX$4=$P24,
               $U24/12,
               1
      ))),0),
    ROUNDDOWN(
      BX24*IF(BX24*$I24&lt;=$L24,$J24,$I24)*
      IF($P24=1,
         $S24/12,
         IF(BX$4=1,
            $T24/12,
            IF(BX$4=$P24,
               $U24/12,
               1
      ))),0),
    ROUND(
      BX24*IF(BX24*$I24&lt;=$L24,$J24,$I24)*
      IF($P24=1,
         $S24/12,
         IF(BX$4=1,
            $T24/12,
            IF(BX$4=$P24,
               $U24/12,
               1
      ))),0)
))))</f>
        <v>-</v>
      </c>
      <c r="BZ24" s="56" t="str">
        <f ca="1">IF($H24=リスト!$AA$4,"-",
   IF($C24="-","-",
     IF(BZ$4&gt;$P24,"-",
       IF(BZ$4=1,$E24,OFFSET(BZ24,0,-2)-OFFSET(BZ24,0,-1)
))))</f>
        <v>-</v>
      </c>
      <c r="CA24" s="57" t="str">
        <f>IF($H24=リスト!$AA$4,"-",
 IF($C24="-","-",
  IF(BZ$4&gt;$P24,"-",
   CHOOSE(MATCH($H$3,リスト!$AE$3:$AE$5,0),
    ROUNDUP(
      BZ24*IF(BZ24*$I24&lt;=$L24,$J24,$I24)*
      IF($P24=1,
         $S24/12,
         IF(BZ$4=1,
            $T24/12,
            IF(BZ$4=$P24,
               $U24/12,
               1
      ))),0),
    ROUNDDOWN(
      BZ24*IF(BZ24*$I24&lt;=$L24,$J24,$I24)*
      IF($P24=1,
         $S24/12,
         IF(BZ$4=1,
            $T24/12,
            IF(BZ$4=$P24,
               $U24/12,
               1
      ))),0),
    ROUND(
      BZ24*IF(BZ24*$I24&lt;=$L24,$J24,$I24)*
      IF($P24=1,
         $S24/12,
         IF(BZ$4=1,
            $T24/12,
            IF(BZ$4=$P24,
               $U24/12,
               1
      ))),0)
))))</f>
        <v>-</v>
      </c>
      <c r="CB24" s="56" t="str">
        <f ca="1">IF($H24=リスト!$AA$4,"-",
   IF($C24="-","-",
     IF(CB$4&gt;$P24,"-",
       IF(CB$4=1,$E24,OFFSET(CB24,0,-2)-OFFSET(CB24,0,-1)
))))</f>
        <v>-</v>
      </c>
      <c r="CC24" s="57" t="str">
        <f>IF($H24=リスト!$AA$4,"-",
 IF($C24="-","-",
  IF(CB$4&gt;$P24,"-",
   CHOOSE(MATCH($H$3,リスト!$AE$3:$AE$5,0),
    ROUNDUP(
      CB24*IF(CB24*$I24&lt;=$L24,$J24,$I24)*
      IF($P24=1,
         $S24/12,
         IF(CB$4=1,
            $T24/12,
            IF(CB$4=$P24,
               $U24/12,
               1
      ))),0),
    ROUNDDOWN(
      CB24*IF(CB24*$I24&lt;=$L24,$J24,$I24)*
      IF($P24=1,
         $S24/12,
         IF(CB$4=1,
            $T24/12,
            IF(CB$4=$P24,
               $U24/12,
               1
      ))),0),
    ROUND(
      CB24*IF(CB24*$I24&lt;=$L24,$J24,$I24)*
      IF($P24=1,
         $S24/12,
         IF(CB$4=1,
            $T24/12,
            IF(CB$4=$P24,
               $U24/12,
               1
      ))),0)
))))</f>
        <v>-</v>
      </c>
      <c r="CD24" s="56" t="str">
        <f ca="1">IF($H24=リスト!$AA$4,"-",
   IF($C24="-","-",
     IF(CD$4&gt;$P24,"-",
       IF(CD$4=1,$E24,OFFSET(CD24,0,-2)-OFFSET(CD24,0,-1)
))))</f>
        <v>-</v>
      </c>
      <c r="CE24" s="57" t="str">
        <f>IF($H24=リスト!$AA$4,"-",
 IF($C24="-","-",
  IF(CD$4&gt;$P24,"-",
   CHOOSE(MATCH($H$3,リスト!$AE$3:$AE$5,0),
    ROUNDUP(
      CD24*IF(CD24*$I24&lt;=$L24,$J24,$I24)*
      IF($P24=1,
         $S24/12,
         IF(CD$4=1,
            $T24/12,
            IF(CD$4=$P24,
               $U24/12,
               1
      ))),0),
    ROUNDDOWN(
      CD24*IF(CD24*$I24&lt;=$L24,$J24,$I24)*
      IF($P24=1,
         $S24/12,
         IF(CD$4=1,
            $T24/12,
            IF(CD$4=$P24,
               $U24/12,
               1
      ))),0),
    ROUND(
      CD24*IF(CD24*$I24&lt;=$L24,$J24,$I24)*
      IF($P24=1,
         $S24/12,
         IF(CD$4=1,
            $T24/12,
            IF(CD$4=$P24,
               $U24/12,
               1
      ))),0)
))))</f>
        <v>-</v>
      </c>
      <c r="CF24" s="56" t="str">
        <f ca="1">IF($H24=リスト!$AA$4,"-",
   IF($C24="-","-",
     IF(CF$4&gt;$P24,"-",
       IF(CF$4=1,$E24,OFFSET(CF24,0,-2)-OFFSET(CF24,0,-1)
))))</f>
        <v>-</v>
      </c>
      <c r="CG24" s="57" t="str">
        <f>IF($H24=リスト!$AA$4,"-",
 IF($C24="-","-",
  IF(CF$4&gt;$P24,"-",
   CHOOSE(MATCH($H$3,リスト!$AE$3:$AE$5,0),
    ROUNDUP(
      CF24*IF(CF24*$I24&lt;=$L24,$J24,$I24)*
      IF($P24=1,
         $S24/12,
         IF(CF$4=1,
            $T24/12,
            IF(CF$4=$P24,
               $U24/12,
               1
      ))),0),
    ROUNDDOWN(
      CF24*IF(CF24*$I24&lt;=$L24,$J24,$I24)*
      IF($P24=1,
         $S24/12,
         IF(CF$4=1,
            $T24/12,
            IF(CF$4=$P24,
               $U24/12,
               1
      ))),0),
    ROUND(
      CF24*IF(CF24*$I24&lt;=$L24,$J24,$I24)*
      IF($P24=1,
         $S24/12,
         IF(CF$4=1,
            $T24/12,
            IF(CF$4=$P24,
               $U24/12,
               1
      ))),0)
))))</f>
        <v>-</v>
      </c>
      <c r="CH24" s="56" t="str">
        <f ca="1">IF($H24=リスト!$AA$4,"-",
   IF($C24="-","-",
     IF(CH$4&gt;$P24,"-",
       IF(CH$4=1,$E24,OFFSET(CH24,0,-2)-OFFSET(CH24,0,-1)
))))</f>
        <v>-</v>
      </c>
      <c r="CI24" s="57" t="str">
        <f>IF($H24=リスト!$AA$4,"-",
 IF($C24="-","-",
  IF(CH$4&gt;$P24,"-",
   CHOOSE(MATCH($H$3,リスト!$AE$3:$AE$5,0),
    ROUNDUP(
      CH24*IF(CH24*$I24&lt;=$L24,$J24,$I24)*
      IF($P24=1,
         $S24/12,
         IF(CH$4=1,
            $T24/12,
            IF(CH$4=$P24,
               $U24/12,
               1
      ))),0),
    ROUNDDOWN(
      CH24*IF(CH24*$I24&lt;=$L24,$J24,$I24)*
      IF($P24=1,
         $S24/12,
         IF(CH$4=1,
            $T24/12,
            IF(CH$4=$P24,
               $U24/12,
               1
      ))),0),
    ROUND(
      CH24*IF(CH24*$I24&lt;=$L24,$J24,$I24)*
      IF($P24=1,
         $S24/12,
         IF(CH$4=1,
            $T24/12,
            IF(CH$4=$P24,
               $U24/12,
               1
      ))),0)
))))</f>
        <v>-</v>
      </c>
      <c r="CJ24" s="56" t="str">
        <f ca="1">IF($H24=リスト!$AA$4,"-",
   IF($C24="-","-",
     IF(CJ$4&gt;$P24,"-",
       IF(CJ$4=1,$E24,OFFSET(CJ24,0,-2)-OFFSET(CJ24,0,-1)
))))</f>
        <v>-</v>
      </c>
      <c r="CK24" s="57" t="str">
        <f>IF($H24=リスト!$AA$4,"-",
 IF($C24="-","-",
  IF(CJ$4&gt;$P24,"-",
   CHOOSE(MATCH($H$3,リスト!$AE$3:$AE$5,0),
    ROUNDUP(
      CJ24*IF(CJ24*$I24&lt;=$L24,$J24,$I24)*
      IF($P24=1,
         $S24/12,
         IF(CJ$4=1,
            $T24/12,
            IF(CJ$4=$P24,
               $U24/12,
               1
      ))),0),
    ROUNDDOWN(
      CJ24*IF(CJ24*$I24&lt;=$L24,$J24,$I24)*
      IF($P24=1,
         $S24/12,
         IF(CJ$4=1,
            $T24/12,
            IF(CJ$4=$P24,
               $U24/12,
               1
      ))),0),
    ROUND(
      CJ24*IF(CJ24*$I24&lt;=$L24,$J24,$I24)*
      IF($P24=1,
         $S24/12,
         IF(CJ$4=1,
            $T24/12,
            IF(CJ$4=$P24,
               $U24/12,
               1
      ))),0)
))))</f>
        <v>-</v>
      </c>
      <c r="CL24" s="56" t="str">
        <f ca="1">IF($H24=リスト!$AA$4,"-",
   IF($C24="-","-",
     IF(CL$4&gt;$P24,"-",
       IF(CL$4=1,$E24,OFFSET(CL24,0,-2)-OFFSET(CL24,0,-1)
))))</f>
        <v>-</v>
      </c>
      <c r="CM24" s="57" t="str">
        <f>IF($H24=リスト!$AA$4,"-",
 IF($C24="-","-",
  IF(CL$4&gt;$P24,"-",
   CHOOSE(MATCH($H$3,リスト!$AE$3:$AE$5,0),
    ROUNDUP(
      CL24*IF(CL24*$I24&lt;=$L24,$J24,$I24)*
      IF($P24=1,
         $S24/12,
         IF(CL$4=1,
            $T24/12,
            IF(CL$4=$P24,
               $U24/12,
               1
      ))),0),
    ROUNDDOWN(
      CL24*IF(CL24*$I24&lt;=$L24,$J24,$I24)*
      IF($P24=1,
         $S24/12,
         IF(CL$4=1,
            $T24/12,
            IF(CL$4=$P24,
               $U24/12,
               1
      ))),0),
    ROUND(
      CL24*IF(CL24*$I24&lt;=$L24,$J24,$I24)*
      IF($P24=1,
         $S24/12,
         IF(CL$4=1,
            $T24/12,
            IF(CL$4=$P24,
               $U24/12,
               1
      ))),0)
))))</f>
        <v>-</v>
      </c>
      <c r="CN24" s="56" t="str">
        <f ca="1">IF($H24=リスト!$AA$4,"-",
   IF($C24="-","-",
     IF(CN$4&gt;$P24,"-",
       IF(CN$4=1,$E24,OFFSET(CN24,0,-2)-OFFSET(CN24,0,-1)
))))</f>
        <v>-</v>
      </c>
      <c r="CO24" s="57" t="str">
        <f>IF($H24=リスト!$AA$4,"-",
 IF($C24="-","-",
  IF(CN$4&gt;$P24,"-",
   CHOOSE(MATCH($H$3,リスト!$AE$3:$AE$5,0),
    ROUNDUP(
      CN24*IF(CN24*$I24&lt;=$L24,$J24,$I24)*
      IF($P24=1,
         $S24/12,
         IF(CN$4=1,
            $T24/12,
            IF(CN$4=$P24,
               $U24/12,
               1
      ))),0),
    ROUNDDOWN(
      CN24*IF(CN24*$I24&lt;=$L24,$J24,$I24)*
      IF($P24=1,
         $S24/12,
         IF(CN$4=1,
            $T24/12,
            IF(CN$4=$P24,
               $U24/12,
               1
      ))),0),
    ROUND(
      CN24*IF(CN24*$I24&lt;=$L24,$J24,$I24)*
      IF($P24=1,
         $S24/12,
         IF(CN$4=1,
            $T24/12,
            IF(CN$4=$P24,
               $U24/12,
               1
      ))),0)
))))</f>
        <v>-</v>
      </c>
      <c r="CP24" s="56" t="str">
        <f ca="1">IF($H24=リスト!$AA$4,"-",
   IF($C24="-","-",
     IF(CP$4&gt;$P24,"-",
       IF(CP$4=1,$E24,OFFSET(CP24,0,-2)-OFFSET(CP24,0,-1)
))))</f>
        <v>-</v>
      </c>
      <c r="CQ24" s="57" t="str">
        <f>IF($H24=リスト!$AA$4,"-",
 IF($C24="-","-",
  IF(CP$4&gt;$P24,"-",
   CHOOSE(MATCH($H$3,リスト!$AE$3:$AE$5,0),
    ROUNDUP(
      CP24*IF(CP24*$I24&lt;=$L24,$J24,$I24)*
      IF($P24=1,
         $S24/12,
         IF(CP$4=1,
            $T24/12,
            IF(CP$4=$P24,
               $U24/12,
               1
      ))),0),
    ROUNDDOWN(
      CP24*IF(CP24*$I24&lt;=$L24,$J24,$I24)*
      IF($P24=1,
         $S24/12,
         IF(CP$4=1,
            $T24/12,
            IF(CP$4=$P24,
               $U24/12,
               1
      ))),0),
    ROUND(
      CP24*IF(CP24*$I24&lt;=$L24,$J24,$I24)*
      IF($P24=1,
         $S24/12,
         IF(CP$4=1,
            $T24/12,
            IF(CP$4=$P24,
               $U24/12,
               1
      ))),0)
))))</f>
        <v>-</v>
      </c>
      <c r="CR24" s="56" t="str">
        <f ca="1">IF($H24=リスト!$AA$4,"-",
   IF($C24="-","-",
     IF(CR$4&gt;$P24,"-",
       IF(CR$4=1,$E24,OFFSET(CR24,0,-2)-OFFSET(CR24,0,-1)
))))</f>
        <v>-</v>
      </c>
      <c r="CS24" s="57" t="str">
        <f>IF($H24=リスト!$AA$4,"-",
 IF($C24="-","-",
  IF(CR$4&gt;$P24,"-",
   CHOOSE(MATCH($H$3,リスト!$AE$3:$AE$5,0),
    ROUNDUP(
      CR24*IF(CR24*$I24&lt;=$L24,$J24,$I24)*
      IF($P24=1,
         $S24/12,
         IF(CR$4=1,
            $T24/12,
            IF(CR$4=$P24,
               $U24/12,
               1
      ))),0),
    ROUNDDOWN(
      CR24*IF(CR24*$I24&lt;=$L24,$J24,$I24)*
      IF($P24=1,
         $S24/12,
         IF(CR$4=1,
            $T24/12,
            IF(CR$4=$P24,
               $U24/12,
               1
      ))),0),
    ROUND(
      CR24*IF(CR24*$I24&lt;=$L24,$J24,$I24)*
      IF($P24=1,
         $S24/12,
         IF(CR$4=1,
            $T24/12,
            IF(CR$4=$P24,
               $U24/12,
               1
      ))),0)
))))</f>
        <v>-</v>
      </c>
      <c r="CT24" s="56" t="str">
        <f ca="1">IF($H24=リスト!$AA$4,"-",
   IF($C24="-","-",
     IF(CT$4&gt;$P24,"-",
       IF(CT$4=1,$E24,OFFSET(CT24,0,-2)-OFFSET(CT24,0,-1)
))))</f>
        <v>-</v>
      </c>
      <c r="CU24" s="57" t="str">
        <f>IF($H24=リスト!$AA$4,"-",
 IF($C24="-","-",
  IF(CT$4&gt;$P24,"-",
   CHOOSE(MATCH($H$3,リスト!$AE$3:$AE$5,0),
    ROUNDUP(
      CT24*IF(CT24*$I24&lt;=$L24,$J24,$I24)*
      IF($P24=1,
         $S24/12,
         IF(CT$4=1,
            $T24/12,
            IF(CT$4=$P24,
               $U24/12,
               1
      ))),0),
    ROUNDDOWN(
      CT24*IF(CT24*$I24&lt;=$L24,$J24,$I24)*
      IF($P24=1,
         $S24/12,
         IF(CT$4=1,
            $T24/12,
            IF(CT$4=$P24,
               $U24/12,
               1
      ))),0),
    ROUND(
      CT24*IF(CT24*$I24&lt;=$L24,$J24,$I24)*
      IF($P24=1,
         $S24/12,
         IF(CT$4=1,
            $T24/12,
            IF(CT$4=$P24,
               $U24/12,
               1
      ))),0)
))))</f>
        <v>-</v>
      </c>
      <c r="CV24" s="56" t="str">
        <f ca="1">IF($H24=リスト!$AA$4,"-",
   IF($C24="-","-",
     IF(CV$4&gt;$P24,"-",
       IF(CV$4=1,$E24,OFFSET(CV24,0,-2)-OFFSET(CV24,0,-1)
))))</f>
        <v>-</v>
      </c>
      <c r="CW24" s="57" t="str">
        <f>IF($H24=リスト!$AA$4,"-",
 IF($C24="-","-",
  IF(CV$4&gt;$P24,"-",
   CHOOSE(MATCH($H$3,リスト!$AE$3:$AE$5,0),
    ROUNDUP(
      CV24*IF(CV24*$I24&lt;=$L24,$J24,$I24)*
      IF($P24=1,
         $S24/12,
         IF(CV$4=1,
            $T24/12,
            IF(CV$4=$P24,
               $U24/12,
               1
      ))),0),
    ROUNDDOWN(
      CV24*IF(CV24*$I24&lt;=$L24,$J24,$I24)*
      IF($P24=1,
         $S24/12,
         IF(CV$4=1,
            $T24/12,
            IF(CV$4=$P24,
               $U24/12,
               1
      ))),0),
    ROUND(
      CV24*IF(CV24*$I24&lt;=$L24,$J24,$I24)*
      IF($P24=1,
         $S24/12,
         IF(CV$4=1,
            $T24/12,
            IF(CV$4=$P24,
               $U24/12,
               1
      ))),0)
))))</f>
        <v>-</v>
      </c>
      <c r="CX24" s="56" t="str">
        <f ca="1">IF($H24=リスト!$AA$4,"-",
   IF($C24="-","-",
     IF(CX$4&gt;$P24,"-",
       IF(CX$4=1,$E24,OFFSET(CX24,0,-2)-OFFSET(CX24,0,-1)
))))</f>
        <v>-</v>
      </c>
      <c r="CY24" s="57" t="str">
        <f>IF($H24=リスト!$AA$4,"-",
 IF($C24="-","-",
  IF(CX$4&gt;$P24,"-",
   CHOOSE(MATCH($H$3,リスト!$AE$3:$AE$5,0),
    ROUNDUP(
      CX24*IF(CX24*$I24&lt;=$L24,$J24,$I24)*
      IF($P24=1,
         $S24/12,
         IF(CX$4=1,
            $T24/12,
            IF(CX$4=$P24,
               $U24/12,
               1
      ))),0),
    ROUNDDOWN(
      CX24*IF(CX24*$I24&lt;=$L24,$J24,$I24)*
      IF($P24=1,
         $S24/12,
         IF(CX$4=1,
            $T24/12,
            IF(CX$4=$P24,
               $U24/12,
               1
      ))),0),
    ROUND(
      CX24*IF(CX24*$I24&lt;=$L24,$J24,$I24)*
      IF($P24=1,
         $S24/12,
         IF(CX$4=1,
            $T24/12,
            IF(CX$4=$P24,
               $U24/12,
               1
      ))),0)
))))</f>
        <v>-</v>
      </c>
      <c r="CZ24" s="56" t="str">
        <f ca="1">IF($H24=リスト!$AA$4,"-",
   IF($C24="-","-",
     IF(CZ$4&gt;$P24,"-",
       IF(CZ$4=1,$E24,OFFSET(CZ24,0,-2)-OFFSET(CZ24,0,-1)
))))</f>
        <v>-</v>
      </c>
      <c r="DA24" s="57" t="str">
        <f>IF($H24=リスト!$AA$4,"-",
 IF($C24="-","-",
  IF(CZ$4&gt;$P24,"-",
   CHOOSE(MATCH($H$3,リスト!$AE$3:$AE$5,0),
    ROUNDUP(
      CZ24*IF(CZ24*$I24&lt;=$L24,$J24,$I24)*
      IF($P24=1,
         $S24/12,
         IF(CZ$4=1,
            $T24/12,
            IF(CZ$4=$P24,
               $U24/12,
               1
      ))),0),
    ROUNDDOWN(
      CZ24*IF(CZ24*$I24&lt;=$L24,$J24,$I24)*
      IF($P24=1,
         $S24/12,
         IF(CZ$4=1,
            $T24/12,
            IF(CZ$4=$P24,
               $U24/12,
               1
      ))),0),
    ROUND(
      CZ24*IF(CZ24*$I24&lt;=$L24,$J24,$I24)*
      IF($P24=1,
         $S24/12,
         IF(CZ$4=1,
            $T24/12,
            IF(CZ$4=$P24,
               $U24/12,
               1
      ))),0)
))))</f>
        <v>-</v>
      </c>
      <c r="DB24" s="56" t="str">
        <f ca="1">IF($H24=リスト!$AA$4,"-",
   IF($C24="-","-",
     IF(DB$4&gt;$P24,"-",
       IF(DB$4=1,$E24,OFFSET(DB24,0,-2)-OFFSET(DB24,0,-1)
))))</f>
        <v>-</v>
      </c>
      <c r="DC24" s="57" t="str">
        <f>IF($H24=リスト!$AA$4,"-",
 IF($C24="-","-",
  IF(DB$4&gt;$P24,"-",
   CHOOSE(MATCH($H$3,リスト!$AE$3:$AE$5,0),
    ROUNDUP(
      DB24*IF(DB24*$I24&lt;=$L24,$J24,$I24)*
      IF($P24=1,
         $S24/12,
         IF(DB$4=1,
            $T24/12,
            IF(DB$4=$P24,
               $U24/12,
               1
      ))),0),
    ROUNDDOWN(
      DB24*IF(DB24*$I24&lt;=$L24,$J24,$I24)*
      IF($P24=1,
         $S24/12,
         IF(DB$4=1,
            $T24/12,
            IF(DB$4=$P24,
               $U24/12,
               1
      ))),0),
    ROUND(
      DB24*IF(DB24*$I24&lt;=$L24,$J24,$I24)*
      IF($P24=1,
         $S24/12,
         IF(DB$4=1,
            $T24/12,
            IF(DB$4=$P24,
               $U24/12,
               1
      ))),0)
))))</f>
        <v>-</v>
      </c>
      <c r="DD24" s="56" t="str">
        <f ca="1">IF($H24=リスト!$AA$4,"-",
   IF($C24="-","-",
     IF(DD$4&gt;$P24,"-",
       IF(DD$4=1,$E24,OFFSET(DD24,0,-2)-OFFSET(DD24,0,-1)
))))</f>
        <v>-</v>
      </c>
      <c r="DE24" s="57" t="str">
        <f>IF($H24=リスト!$AA$4,"-",
 IF($C24="-","-",
  IF(DD$4&gt;$P24,"-",
   CHOOSE(MATCH($H$3,リスト!$AE$3:$AE$5,0),
    ROUNDUP(
      DD24*IF(DD24*$I24&lt;=$L24,$J24,$I24)*
      IF($P24=1,
         $S24/12,
         IF(DD$4=1,
            $T24/12,
            IF(DD$4=$P24,
               $U24/12,
               1
      ))),0),
    ROUNDDOWN(
      DD24*IF(DD24*$I24&lt;=$L24,$J24,$I24)*
      IF($P24=1,
         $S24/12,
         IF(DD$4=1,
            $T24/12,
            IF(DD$4=$P24,
               $U24/12,
               1
      ))),0),
    ROUND(
      DD24*IF(DD24*$I24&lt;=$L24,$J24,$I24)*
      IF($P24=1,
         $S24/12,
         IF(DD$4=1,
            $T24/12,
            IF(DD$4=$P24,
               $U24/12,
               1
      ))),0)
))))</f>
        <v>-</v>
      </c>
      <c r="DF24" s="56" t="str">
        <f ca="1">IF($H24=リスト!$AA$4,"-",
   IF($C24="-","-",
     IF(DF$4&gt;$P24,"-",
       IF(DF$4=1,$E24,OFFSET(DF24,0,-2)-OFFSET(DF24,0,-1)
))))</f>
        <v>-</v>
      </c>
      <c r="DG24" s="57" t="str">
        <f>IF($H24=リスト!$AA$4,"-",
 IF($C24="-","-",
  IF(DF$4&gt;$P24,"-",
   CHOOSE(MATCH($H$3,リスト!$AE$3:$AE$5,0),
    ROUNDUP(
      DF24*IF(DF24*$I24&lt;=$L24,$J24,$I24)*
      IF($P24=1,
         $S24/12,
         IF(DF$4=1,
            $T24/12,
            IF(DF$4=$P24,
               $U24/12,
               1
      ))),0),
    ROUNDDOWN(
      DF24*IF(DF24*$I24&lt;=$L24,$J24,$I24)*
      IF($P24=1,
         $S24/12,
         IF(DF$4=1,
            $T24/12,
            IF(DF$4=$P24,
               $U24/12,
               1
      ))),0),
    ROUND(
      DF24*IF(DF24*$I24&lt;=$L24,$J24,$I24)*
      IF($P24=1,
         $S24/12,
         IF(DF$4=1,
            $T24/12,
            IF(DF$4=$P24,
               $U24/12,
               1
      ))),0)
))))</f>
        <v>-</v>
      </c>
      <c r="DH24" s="56" t="str">
        <f ca="1">IF($H24=リスト!$AA$4,"-",
   IF($C24="-","-",
     IF(DH$4&gt;$P24,"-",
       IF(DH$4=1,$E24,OFFSET(DH24,0,-2)-OFFSET(DH24,0,-1)
))))</f>
        <v>-</v>
      </c>
      <c r="DI24" s="57" t="str">
        <f>IF($H24=リスト!$AA$4,"-",
 IF($C24="-","-",
  IF(DH$4&gt;$P24,"-",
   CHOOSE(MATCH($H$3,リスト!$AE$3:$AE$5,0),
    ROUNDUP(
      DH24*IF(DH24*$I24&lt;=$L24,$J24,$I24)*
      IF($P24=1,
         $S24/12,
         IF(DH$4=1,
            $T24/12,
            IF(DH$4=$P24,
               $U24/12,
               1
      ))),0),
    ROUNDDOWN(
      DH24*IF(DH24*$I24&lt;=$L24,$J24,$I24)*
      IF($P24=1,
         $S24/12,
         IF(DH$4=1,
            $T24/12,
            IF(DH$4=$P24,
               $U24/12,
               1
      ))),0),
    ROUND(
      DH24*IF(DH24*$I24&lt;=$L24,$J24,$I24)*
      IF($P24=1,
         $S24/12,
         IF(DH$4=1,
            $T24/12,
            IF(DH$4=$P24,
               $U24/12,
               1
      ))),0)
))))</f>
        <v>-</v>
      </c>
      <c r="DJ24" s="56" t="str">
        <f ca="1">IF($H24=リスト!$AA$4,"-",
   IF($C24="-","-",
     IF(DJ$4&gt;$P24,"-",
       IF(DJ$4=1,$E24,OFFSET(DJ24,0,-2)-OFFSET(DJ24,0,-1)
))))</f>
        <v>-</v>
      </c>
      <c r="DK24" s="57" t="str">
        <f>IF($H24=リスト!$AA$4,"-",
 IF($C24="-","-",
  IF(DJ$4&gt;$P24,"-",
   CHOOSE(MATCH($H$3,リスト!$AE$3:$AE$5,0),
    ROUNDUP(
      DJ24*IF(DJ24*$I24&lt;=$L24,$J24,$I24)*
      IF($P24=1,
         $S24/12,
         IF(DJ$4=1,
            $T24/12,
            IF(DJ$4=$P24,
               $U24/12,
               1
      ))),0),
    ROUNDDOWN(
      DJ24*IF(DJ24*$I24&lt;=$L24,$J24,$I24)*
      IF($P24=1,
         $S24/12,
         IF(DJ$4=1,
            $T24/12,
            IF(DJ$4=$P24,
               $U24/12,
               1
      ))),0),
    ROUND(
      DJ24*IF(DJ24*$I24&lt;=$L24,$J24,$I24)*
      IF($P24=1,
         $S24/12,
         IF(DJ$4=1,
            $T24/12,
            IF(DJ$4=$P24,
               $U24/12,
               1
      ))),0)
))))</f>
        <v>-</v>
      </c>
      <c r="DL24" s="56" t="str">
        <f ca="1">IF($H24=リスト!$AA$4,"-",
   IF($C24="-","-",
     IF(DL$4&gt;$P24,"-",
       IF(DL$4=1,$E24,OFFSET(DL24,0,-2)-OFFSET(DL24,0,-1)
))))</f>
        <v>-</v>
      </c>
      <c r="DM24" s="57" t="str">
        <f>IF($H24=リスト!$AA$4,"-",
 IF($C24="-","-",
  IF(DL$4&gt;$P24,"-",
   CHOOSE(MATCH($H$3,リスト!$AE$3:$AE$5,0),
    ROUNDUP(
      DL24*IF(DL24*$I24&lt;=$L24,$J24,$I24)*
      IF($P24=1,
         $S24/12,
         IF(DL$4=1,
            $T24/12,
            IF(DL$4=$P24,
               $U24/12,
               1
      ))),0),
    ROUNDDOWN(
      DL24*IF(DL24*$I24&lt;=$L24,$J24,$I24)*
      IF($P24=1,
         $S24/12,
         IF(DL$4=1,
            $T24/12,
            IF(DL$4=$P24,
               $U24/12,
               1
      ))),0),
    ROUND(
      DL24*IF(DL24*$I24&lt;=$L24,$J24,$I24)*
      IF($P24=1,
         $S24/12,
         IF(DL$4=1,
            $T24/12,
            IF(DL$4=$P24,
               $U24/12,
               1
      ))),0)
))))</f>
        <v>-</v>
      </c>
      <c r="DN24" s="56" t="str">
        <f ca="1">IF($H24=リスト!$AA$4,"-",
   IF($C24="-","-",
     IF(DN$4&gt;$P24,"-",
       IF(DN$4=1,$E24,OFFSET(DN24,0,-2)-OFFSET(DN24,0,-1)
))))</f>
        <v>-</v>
      </c>
      <c r="DO24" s="57" t="str">
        <f>IF($H24=リスト!$AA$4,"-",
 IF($C24="-","-",
  IF(DN$4&gt;$P24,"-",
   CHOOSE(MATCH($H$3,リスト!$AE$3:$AE$5,0),
    ROUNDUP(
      DN24*IF(DN24*$I24&lt;=$L24,$J24,$I24)*
      IF($P24=1,
         $S24/12,
         IF(DN$4=1,
            $T24/12,
            IF(DN$4=$P24,
               $U24/12,
               1
      ))),0),
    ROUNDDOWN(
      DN24*IF(DN24*$I24&lt;=$L24,$J24,$I24)*
      IF($P24=1,
         $S24/12,
         IF(DN$4=1,
            $T24/12,
            IF(DN$4=$P24,
               $U24/12,
               1
      ))),0),
    ROUND(
      DN24*IF(DN24*$I24&lt;=$L24,$J24,$I24)*
      IF($P24=1,
         $S24/12,
         IF(DN$4=1,
            $T24/12,
            IF(DN$4=$P24,
               $U24/12,
               1
      ))),0)
))))</f>
        <v>-</v>
      </c>
      <c r="DP24" s="56" t="str">
        <f ca="1">IF($H24=リスト!$AA$4,"-",
   IF($C24="-","-",
     IF(DP$4&gt;$P24,"-",
       IF(DP$4=1,$E24,OFFSET(DP24,0,-2)-OFFSET(DP24,0,-1)
))))</f>
        <v>-</v>
      </c>
      <c r="DQ24" s="57" t="str">
        <f>IF($H24=リスト!$AA$4,"-",
 IF($C24="-","-",
  IF(DP$4&gt;$P24,"-",
   CHOOSE(MATCH($H$3,リスト!$AE$3:$AE$5,0),
    ROUNDUP(
      DP24*IF(DP24*$I24&lt;=$L24,$J24,$I24)*
      IF($P24=1,
         $S24/12,
         IF(DP$4=1,
            $T24/12,
            IF(DP$4=$P24,
               $U24/12,
               1
      ))),0),
    ROUNDDOWN(
      DP24*IF(DP24*$I24&lt;=$L24,$J24,$I24)*
      IF($P24=1,
         $S24/12,
         IF(DP$4=1,
            $T24/12,
            IF(DP$4=$P24,
               $U24/12,
               1
      ))),0),
    ROUND(
      DP24*IF(DP24*$I24&lt;=$L24,$J24,$I24)*
      IF($P24=1,
         $S24/12,
         IF(DP$4=1,
            $T24/12,
            IF(DP$4=$P24,
               $U24/12,
               1
      ))),0)
))))</f>
        <v>-</v>
      </c>
      <c r="DR24" s="56" t="str">
        <f ca="1">IF($H24=リスト!$AA$4,"-",
   IF($C24="-","-",
     IF(DR$4&gt;$P24,"-",
       IF(DR$4=1,$E24,OFFSET(DR24,0,-2)-OFFSET(DR24,0,-1)
))))</f>
        <v>-</v>
      </c>
      <c r="DS24" s="57" t="str">
        <f>IF($H24=リスト!$AA$4,"-",
 IF($C24="-","-",
  IF(DR$4&gt;$P24,"-",
   CHOOSE(MATCH($H$3,リスト!$AE$3:$AE$5,0),
    ROUNDUP(
      DR24*IF(DR24*$I24&lt;=$L24,$J24,$I24)*
      IF($P24=1,
         ($G24-$F24+1)/$Q24,
         IF(DR$4=1,
            ($M24-$F24+1)/$Q24,
            IF(DR$4=$P24,
               ($G24-$O24+1)/$R24,
               1
      ))),0),
    ROUNDDOWN(
      DR24*IF(DR24*$I24&lt;=$L24,$J24,$I24)*
      IF($P24=1,
         ($G24-$F24+1)/$Q24,
         IF(DR$4=1,
            ($M24-$F24+1)/$Q24,
            IF(DR$4=$P24,
               ($G24-$O24+1)/$R24,
               1
      ))),0),
    ROUND(
      DR24*IF(DR24*$I24&lt;=$L24,$J24,$I24)*
      IF($P24=1,
         ($G24-$F24+1)/$Q24,
         IF(DR$4=1,
            ($M24-$F24+1)/$Q24,
            IF(DR$4=$P24,
               ($G24-$O24+1)/$R24,
               1
      ))),0)
))))</f>
        <v>-</v>
      </c>
      <c r="DT24" s="56" t="str" cm="1">
        <f t="array" ref="DT24">IF($H24&lt;&gt;リスト!$AA$3,"-",$E24-SUMPRODUCT(IFERROR($Y24:$DS24*1,0), --(MOD(COLUMN($Y24:$DS24)-COLUMN($Y24),2)=0)))</f>
        <v>-</v>
      </c>
      <c r="DU24" s="56" t="str">
        <f>IF($H24&lt;&gt;リスト!$AA$4,"-",
    IF($H$3=リスト!$AE$3,$E24-ROUNDUP($E24*I24*$W24/12,0),
    IF($H$3=リスト!$AE$4,$E24-ROUNDDOWN($E24*I24*$W24/12,0),
    IF($H$3=リスト!$AE$5,$E24-ROUND($E24*I24*$W24/12,0),
    "-"))))</f>
        <v>-</v>
      </c>
    </row>
    <row r="25" spans="2:125">
      <c r="B25" s="54">
        <v>20</v>
      </c>
      <c r="C25" s="55" t="str">
        <f>IF('財産処分報告(災害)用'!$C25="","-",'財産処分報告(災害)用'!$C25)</f>
        <v>-</v>
      </c>
      <c r="D25" s="55" t="str">
        <f>'財産処分報告(災害)用'!$E25</f>
        <v>-</v>
      </c>
      <c r="E25" s="56" t="str">
        <f>IF('財産処分報告(災害)用'!$J25="","-",'財産処分報告(災害)用'!$J25)</f>
        <v>-</v>
      </c>
      <c r="F25" s="101" t="str">
        <f>IF('財産処分報告(災害)用'!$K25="","-",'財産処分報告(災害)用'!$K25)</f>
        <v>-</v>
      </c>
      <c r="G25" s="101" t="str">
        <f>IF('財産処分報告(災害)用'!$L25="","-",'財産処分報告(災害)用'!$L25)</f>
        <v>-</v>
      </c>
      <c r="H25" s="55" t="str">
        <f>IF('財産処分報告(災害)用'!$M25="","-",'財産処分報告(災害)用'!$M25)</f>
        <v>-</v>
      </c>
      <c r="I25" s="55" t="str">
        <f>IF(OR($D25="-",$H25="-"),"-",INDEX(リスト!$AG$2:$AI$101,MATCH($D25,リスト!$AG$2:$AG$101,0),MATCH($H25,リスト!$AG$2:$AI$2,0)))</f>
        <v>-</v>
      </c>
      <c r="J25" s="55" t="str">
        <f>IF(OR($D25="-",$H25="-"),"-",IF($H25=リスト!$AA$4,"-",INDEX(リスト!$AG$2:$AK$101,MATCH($D25,リスト!$AG$2:$AG$101,0),4)))</f>
        <v>-</v>
      </c>
      <c r="K25" s="55" t="str">
        <f>IF(OR($D25="-",$H25="-"),"-",IF($H25=リスト!$AA$4,"-",INDEX(リスト!$AG$2:$AK$101,MATCH($D25,リスト!$AG$2:$AG$101,0),5)))</f>
        <v>-</v>
      </c>
      <c r="L25" s="55" t="str">
        <f t="shared" si="0"/>
        <v>-</v>
      </c>
      <c r="M25" s="101" t="str">
        <f t="shared" si="1"/>
        <v>-</v>
      </c>
      <c r="N25" s="101" t="str">
        <f t="shared" si="2"/>
        <v>-</v>
      </c>
      <c r="O25" s="101" t="str">
        <f t="shared" si="3"/>
        <v>-</v>
      </c>
      <c r="P25" s="102" t="str">
        <f t="shared" si="4"/>
        <v>-</v>
      </c>
      <c r="Q25" s="115" t="str">
        <f t="shared" si="5"/>
        <v>-</v>
      </c>
      <c r="R25" s="116" t="str">
        <f t="shared" si="6"/>
        <v>-</v>
      </c>
      <c r="S25" s="102" t="str">
        <f t="shared" si="7"/>
        <v>-</v>
      </c>
      <c r="T25" s="102" t="str">
        <f t="shared" si="8"/>
        <v>-</v>
      </c>
      <c r="U25" s="102" t="str">
        <f t="shared" si="9"/>
        <v>-</v>
      </c>
      <c r="V25" s="102" t="str">
        <f t="shared" si="10"/>
        <v>-</v>
      </c>
      <c r="W25" s="55" t="str">
        <f t="shared" si="11"/>
        <v>-</v>
      </c>
      <c r="X25" s="56" t="str">
        <f ca="1">IF($H25=リスト!$AA$4,"-",
   IF($C25="-","-",
     IF(X$4&gt;$P25,"-",
       IF(X$4=1,$E25,OFFSET(X25,0,-2)-OFFSET(X25,0,-1)
))))</f>
        <v>-</v>
      </c>
      <c r="Y25" s="57" t="str">
        <f>IF($H25=リスト!$AA$4,"-",
 IF($C25="-","-",
  IF(X$4&gt;$P25,"-",
   CHOOSE(MATCH($H$3,リスト!$AE$3:$AE$5,0),
    ROUNDUP(
      X25*IF(X25*$I25&lt;=$L25,$J25,$I25)*
      IF($P25=1,
         $S25/12,
         IF(X$4=1,
            $T25/12,
            IF(X$4=$P25,
               $U25/12,
               1
      ))),0),
    ROUNDDOWN(
      X25*IF(X25*$I25&lt;=$L25,$J25,$I25)*
      IF($P25=1,
         $S25/12,
         IF(X$4=1,
            $T25/12,
            IF(X$4=$P25,
               $U25/12,
               1
      ))),0),
    ROUND(
      X25*IF(X25*$I25&lt;=$L25,$J25,$I25)*
      IF($P25=1,
         $S25/12,
         IF(X$4=1,
            $T25/12,
            IF(X$4=$P25,
               $U25/12,
               1
      ))),0)
))))</f>
        <v>-</v>
      </c>
      <c r="Z25" s="56" t="str">
        <f ca="1">IF($H25=リスト!$AA$4,"-",
   IF($C25="-","-",
     IF(Z$4&gt;$P25,"-",
       IF(Z$4=1,$E25,OFFSET(Z25,0,-2)-OFFSET(Z25,0,-1)
))))</f>
        <v>-</v>
      </c>
      <c r="AA25" s="57" t="str">
        <f>IF($H25=リスト!$AA$4,"-",
 IF($C25="-","-",
  IF(Z$4&gt;$P25,"-",
   CHOOSE(MATCH($H$3,リスト!$AE$3:$AE$5,0),
    ROUNDUP(
      Z25*IF(Z25*$I25&lt;=$L25,$J25,$I25)*
      IF($P25=1,
         $S25/12,
         IF(Z$4=1,
            $T25/12,
            IF(Z$4=$P25,
               $U25/12,
               1
      ))),0),
    ROUNDDOWN(
      Z25*IF(Z25*$I25&lt;=$L25,$J25,$I25)*
      IF($P25=1,
         $S25/12,
         IF(Z$4=1,
            $T25/12,
            IF(Z$4=$P25,
               $U25/12,
               1
      ))),0),
    ROUND(
      Z25*IF(Z25*$I25&lt;=$L25,$J25,$I25)*
      IF($P25=1,
         $S25/12,
         IF(Z$4=1,
            $T25/12,
            IF(Z$4=$P25,
               $U25/12,
               1
      ))),0)
))))</f>
        <v>-</v>
      </c>
      <c r="AB25" s="56" t="str">
        <f ca="1">IF($H25=リスト!$AA$4,"-",
   IF($C25="-","-",
     IF(AB$4&gt;$P25,"-",
       IF(AB$4=1,$E25,OFFSET(AB25,0,-2)-OFFSET(AB25,0,-1)
))))</f>
        <v>-</v>
      </c>
      <c r="AC25" s="57" t="str">
        <f>IF($H25=リスト!$AA$4,"-",
 IF($C25="-","-",
  IF(AB$4&gt;$P25,"-",
   CHOOSE(MATCH($H$3,リスト!$AE$3:$AE$5,0),
    ROUNDUP(
      AB25*IF(AB25*$I25&lt;=$L25,$J25,$I25)*
      IF($P25=1,
         $S25/12,
         IF(AB$4=1,
            $T25/12,
            IF(AB$4=$P25,
               $U25/12,
               1
      ))),0),
    ROUNDDOWN(
      AB25*IF(AB25*$I25&lt;=$L25,$J25,$I25)*
      IF($P25=1,
         $S25/12,
         IF(AB$4=1,
            $T25/12,
            IF(AB$4=$P25,
               $U25/12,
               1
      ))),0),
    ROUND(
      AB25*IF(AB25*$I25&lt;=$L25,$J25,$I25)*
      IF($P25=1,
         $S25/12,
         IF(AB$4=1,
            $T25/12,
            IF(AB$4=$P25,
               $U25/12,
               1
      ))),0)
))))</f>
        <v>-</v>
      </c>
      <c r="AD25" s="56" t="str">
        <f ca="1">IF($H25=リスト!$AA$4,"-",
   IF($C25="-","-",
     IF(AD$4&gt;$P25,"-",
       IF(AD$4=1,$E25,OFFSET(AD25,0,-2)-OFFSET(AD25,0,-1)
))))</f>
        <v>-</v>
      </c>
      <c r="AE25" s="57" t="str">
        <f>IF($H25=リスト!$AA$4,"-",
 IF($C25="-","-",
  IF(AD$4&gt;$P25,"-",
   CHOOSE(MATCH($H$3,リスト!$AE$3:$AE$5,0),
    ROUNDUP(
      AD25*IF(AD25*$I25&lt;=$L25,$J25,$I25)*
      IF($P25=1,
         $S25/12,
         IF(AD$4=1,
            $T25/12,
            IF(AD$4=$P25,
               $U25/12,
               1
      ))),0),
    ROUNDDOWN(
      AD25*IF(AD25*$I25&lt;=$L25,$J25,$I25)*
      IF($P25=1,
         $S25/12,
         IF(AD$4=1,
            $T25/12,
            IF(AD$4=$P25,
               $U25/12,
               1
      ))),0),
    ROUND(
      AD25*IF(AD25*$I25&lt;=$L25,$J25,$I25)*
      IF($P25=1,
         $S25/12,
         IF(AD$4=1,
            $T25/12,
            IF(AD$4=$P25,
               $U25/12,
               1
      ))),0)
))))</f>
        <v>-</v>
      </c>
      <c r="AF25" s="56" t="str">
        <f ca="1">IF($H25=リスト!$AA$4,"-",
   IF($C25="-","-",
     IF(AF$4&gt;$P25,"-",
       IF(AF$4=1,$E25,OFFSET(AF25,0,-2)-OFFSET(AF25,0,-1)
))))</f>
        <v>-</v>
      </c>
      <c r="AG25" s="57" t="str">
        <f>IF($H25=リスト!$AA$4,"-",
 IF($C25="-","-",
  IF(AF$4&gt;$P25,"-",
   CHOOSE(MATCH($H$3,リスト!$AE$3:$AE$5,0),
    ROUNDUP(
      AF25*IF(AF25*$I25&lt;=$L25,$J25,$I25)*
      IF($P25=1,
         $S25/12,
         IF(AF$4=1,
            $T25/12,
            IF(AF$4=$P25,
               $U25/12,
               1
      ))),0),
    ROUNDDOWN(
      AF25*IF(AF25*$I25&lt;=$L25,$J25,$I25)*
      IF($P25=1,
         $S25/12,
         IF(AF$4=1,
            $T25/12,
            IF(AF$4=$P25,
               $U25/12,
               1
      ))),0),
    ROUND(
      AF25*IF(AF25*$I25&lt;=$L25,$J25,$I25)*
      IF($P25=1,
         $S25/12,
         IF(AF$4=1,
            $T25/12,
            IF(AF$4=$P25,
               $U25/12,
               1
      ))),0)
))))</f>
        <v>-</v>
      </c>
      <c r="AH25" s="56" t="str">
        <f ca="1">IF($H25=リスト!$AA$4,"-",
   IF($C25="-","-",
     IF(AH$4&gt;$P25,"-",
       IF(AH$4=1,$E25,OFFSET(AH25,0,-2)-OFFSET(AH25,0,-1)
))))</f>
        <v>-</v>
      </c>
      <c r="AI25" s="57" t="str">
        <f>IF($H25=リスト!$AA$4,"-",
 IF($C25="-","-",
  IF(AH$4&gt;$P25,"-",
   CHOOSE(MATCH($H$3,リスト!$AE$3:$AE$5,0),
    ROUNDUP(
      AH25*IF(AH25*$I25&lt;=$L25,$J25,$I25)*
      IF($P25=1,
         $S25/12,
         IF(AH$4=1,
            $T25/12,
            IF(AH$4=$P25,
               $U25/12,
               1
      ))),0),
    ROUNDDOWN(
      AH25*IF(AH25*$I25&lt;=$L25,$J25,$I25)*
      IF($P25=1,
         $S25/12,
         IF(AH$4=1,
            $T25/12,
            IF(AH$4=$P25,
               $U25/12,
               1
      ))),0),
    ROUND(
      AH25*IF(AH25*$I25&lt;=$L25,$J25,$I25)*
      IF($P25=1,
         $S25/12,
         IF(AH$4=1,
            $T25/12,
            IF(AH$4=$P25,
               $U25/12,
               1
      ))),0)
))))</f>
        <v>-</v>
      </c>
      <c r="AJ25" s="56" t="str">
        <f ca="1">IF($H25=リスト!$AA$4,"-",
   IF($C25="-","-",
     IF(AJ$4&gt;$P25,"-",
       IF(AJ$4=1,$E25,OFFSET(AJ25,0,-2)-OFFSET(AJ25,0,-1)
))))</f>
        <v>-</v>
      </c>
      <c r="AK25" s="57" t="str">
        <f>IF($H25=リスト!$AA$4,"-",
 IF($C25="-","-",
  IF(AJ$4&gt;$P25,"-",
   CHOOSE(MATCH($H$3,リスト!$AE$3:$AE$5,0),
    ROUNDUP(
      AJ25*IF(AJ25*$I25&lt;=$L25,$J25,$I25)*
      IF($P25=1,
         $S25/12,
         IF(AJ$4=1,
            $T25/12,
            IF(AJ$4=$P25,
               $U25/12,
               1
      ))),0),
    ROUNDDOWN(
      AJ25*IF(AJ25*$I25&lt;=$L25,$J25,$I25)*
      IF($P25=1,
         $S25/12,
         IF(AJ$4=1,
            $T25/12,
            IF(AJ$4=$P25,
               $U25/12,
               1
      ))),0),
    ROUND(
      AJ25*IF(AJ25*$I25&lt;=$L25,$J25,$I25)*
      IF($P25=1,
         $S25/12,
         IF(AJ$4=1,
            $T25/12,
            IF(AJ$4=$P25,
               $U25/12,
               1
      ))),0)
))))</f>
        <v>-</v>
      </c>
      <c r="AL25" s="56" t="str">
        <f ca="1">IF($H25=リスト!$AA$4,"-",
   IF($C25="-","-",
     IF(AL$4&gt;$P25,"-",
       IF(AL$4=1,$E25,OFFSET(AL25,0,-2)-OFFSET(AL25,0,-1)
))))</f>
        <v>-</v>
      </c>
      <c r="AM25" s="57" t="str">
        <f>IF($H25=リスト!$AA$4,"-",
 IF($C25="-","-",
  IF(AL$4&gt;$P25,"-",
   CHOOSE(MATCH($H$3,リスト!$AE$3:$AE$5,0),
    ROUNDUP(
      AL25*IF(AL25*$I25&lt;=$L25,$J25,$I25)*
      IF($P25=1,
         $S25/12,
         IF(AL$4=1,
            $T25/12,
            IF(AL$4=$P25,
               $U25/12,
               1
      ))),0),
    ROUNDDOWN(
      AL25*IF(AL25*$I25&lt;=$L25,$J25,$I25)*
      IF($P25=1,
         $S25/12,
         IF(AL$4=1,
            $T25/12,
            IF(AL$4=$P25,
               $U25/12,
               1
      ))),0),
    ROUND(
      AL25*IF(AL25*$I25&lt;=$L25,$J25,$I25)*
      IF($P25=1,
         $S25/12,
         IF(AL$4=1,
            $T25/12,
            IF(AL$4=$P25,
               $U25/12,
               1
      ))),0)
))))</f>
        <v>-</v>
      </c>
      <c r="AN25" s="56" t="str">
        <f ca="1">IF($H25=リスト!$AA$4,"-",
   IF($C25="-","-",
     IF(AN$4&gt;$P25,"-",
       IF(AN$4=1,$E25,OFFSET(AN25,0,-2)-OFFSET(AN25,0,-1)
))))</f>
        <v>-</v>
      </c>
      <c r="AO25" s="57" t="str">
        <f>IF($H25=リスト!$AA$4,"-",
 IF($C25="-","-",
  IF(AN$4&gt;$P25,"-",
   CHOOSE(MATCH($H$3,リスト!$AE$3:$AE$5,0),
    ROUNDUP(
      AN25*IF(AN25*$I25&lt;=$L25,$J25,$I25)*
      IF($P25=1,
         $S25/12,
         IF(AN$4=1,
            $T25/12,
            IF(AN$4=$P25,
               $U25/12,
               1
      ))),0),
    ROUNDDOWN(
      AN25*IF(AN25*$I25&lt;=$L25,$J25,$I25)*
      IF($P25=1,
         $S25/12,
         IF(AN$4=1,
            $T25/12,
            IF(AN$4=$P25,
               $U25/12,
               1
      ))),0),
    ROUND(
      AN25*IF(AN25*$I25&lt;=$L25,$J25,$I25)*
      IF($P25=1,
         $S25/12,
         IF(AN$4=1,
            $T25/12,
            IF(AN$4=$P25,
               $U25/12,
               1
      ))),0)
))))</f>
        <v>-</v>
      </c>
      <c r="AP25" s="56" t="str">
        <f ca="1">IF($H25=リスト!$AA$4,"-",
   IF($C25="-","-",
     IF(AP$4&gt;$P25,"-",
       IF(AP$4=1,$E25,OFFSET(AP25,0,-2)-OFFSET(AP25,0,-1)
))))</f>
        <v>-</v>
      </c>
      <c r="AQ25" s="57" t="str">
        <f>IF($H25=リスト!$AA$4,"-",
 IF($C25="-","-",
  IF(AP$4&gt;$P25,"-",
   CHOOSE(MATCH($H$3,リスト!$AE$3:$AE$5,0),
    ROUNDUP(
      AP25*IF(AP25*$I25&lt;=$L25,$J25,$I25)*
      IF($P25=1,
         $S25/12,
         IF(AP$4=1,
            $T25/12,
            IF(AP$4=$P25,
               $U25/12,
               1
      ))),0),
    ROUNDDOWN(
      AP25*IF(AP25*$I25&lt;=$L25,$J25,$I25)*
      IF($P25=1,
         $S25/12,
         IF(AP$4=1,
            $T25/12,
            IF(AP$4=$P25,
               $U25/12,
               1
      ))),0),
    ROUND(
      AP25*IF(AP25*$I25&lt;=$L25,$J25,$I25)*
      IF($P25=1,
         $S25/12,
         IF(AP$4=1,
            $T25/12,
            IF(AP$4=$P25,
               $U25/12,
               1
      ))),0)
))))</f>
        <v>-</v>
      </c>
      <c r="AR25" s="56" t="str">
        <f ca="1">IF($H25=リスト!$AA$4,"-",
   IF($C25="-","-",
     IF(AR$4&gt;$P25,"-",
       IF(AR$4=1,$E25,OFFSET(AR25,0,-2)-OFFSET(AR25,0,-1)
))))</f>
        <v>-</v>
      </c>
      <c r="AS25" s="57" t="str">
        <f>IF($H25=リスト!$AA$4,"-",
 IF($C25="-","-",
  IF(AR$4&gt;$P25,"-",
   CHOOSE(MATCH($H$3,リスト!$AE$3:$AE$5,0),
    ROUNDUP(
      AR25*IF(AR25*$I25&lt;=$L25,$J25,$I25)*
      IF($P25=1,
         $S25/12,
         IF(AR$4=1,
            $T25/12,
            IF(AR$4=$P25,
               $U25/12,
               1
      ))),0),
    ROUNDDOWN(
      AR25*IF(AR25*$I25&lt;=$L25,$J25,$I25)*
      IF($P25=1,
         $S25/12,
         IF(AR$4=1,
            $T25/12,
            IF(AR$4=$P25,
               $U25/12,
               1
      ))),0),
    ROUND(
      AR25*IF(AR25*$I25&lt;=$L25,$J25,$I25)*
      IF($P25=1,
         $S25/12,
         IF(AR$4=1,
            $T25/12,
            IF(AR$4=$P25,
               $U25/12,
               1
      ))),0)
))))</f>
        <v>-</v>
      </c>
      <c r="AT25" s="56" t="str">
        <f ca="1">IF($H25=リスト!$AA$4,"-",
   IF($C25="-","-",
     IF(AT$4&gt;$P25,"-",
       IF(AT$4=1,$E25,OFFSET(AT25,0,-2)-OFFSET(AT25,0,-1)
))))</f>
        <v>-</v>
      </c>
      <c r="AU25" s="57" t="str">
        <f>IF($H25=リスト!$AA$4,"-",
 IF($C25="-","-",
  IF(AT$4&gt;$P25,"-",
   CHOOSE(MATCH($H$3,リスト!$AE$3:$AE$5,0),
    ROUNDUP(
      AT25*IF(AT25*$I25&lt;=$L25,$J25,$I25)*
      IF($P25=1,
         $S25/12,
         IF(AT$4=1,
            $T25/12,
            IF(AT$4=$P25,
               $U25/12,
               1
      ))),0),
    ROUNDDOWN(
      AT25*IF(AT25*$I25&lt;=$L25,$J25,$I25)*
      IF($P25=1,
         $S25/12,
         IF(AT$4=1,
            $T25/12,
            IF(AT$4=$P25,
               $U25/12,
               1
      ))),0),
    ROUND(
      AT25*IF(AT25*$I25&lt;=$L25,$J25,$I25)*
      IF($P25=1,
         $S25/12,
         IF(AT$4=1,
            $T25/12,
            IF(AT$4=$P25,
               $U25/12,
               1
      ))),0)
))))</f>
        <v>-</v>
      </c>
      <c r="AV25" s="56" t="str">
        <f ca="1">IF($H25=リスト!$AA$4,"-",
   IF($C25="-","-",
     IF(AV$4&gt;$P25,"-",
       IF(AV$4=1,$E25,OFFSET(AV25,0,-2)-OFFSET(AV25,0,-1)
))))</f>
        <v>-</v>
      </c>
      <c r="AW25" s="57" t="str">
        <f>IF($H25=リスト!$AA$4,"-",
 IF($C25="-","-",
  IF(AV$4&gt;$P25,"-",
   CHOOSE(MATCH($H$3,リスト!$AE$3:$AE$5,0),
    ROUNDUP(
      AV25*IF(AV25*$I25&lt;=$L25,$J25,$I25)*
      IF($P25=1,
         $S25/12,
         IF(AV$4=1,
            $T25/12,
            IF(AV$4=$P25,
               $U25/12,
               1
      ))),0),
    ROUNDDOWN(
      AV25*IF(AV25*$I25&lt;=$L25,$J25,$I25)*
      IF($P25=1,
         $S25/12,
         IF(AV$4=1,
            $T25/12,
            IF(AV$4=$P25,
               $U25/12,
               1
      ))),0),
    ROUND(
      AV25*IF(AV25*$I25&lt;=$L25,$J25,$I25)*
      IF($P25=1,
         $S25/12,
         IF(AV$4=1,
            $T25/12,
            IF(AV$4=$P25,
               $U25/12,
               1
      ))),0)
))))</f>
        <v>-</v>
      </c>
      <c r="AX25" s="56" t="str">
        <f ca="1">IF($H25=リスト!$AA$4,"-",
   IF($C25="-","-",
     IF(AX$4&gt;$P25,"-",
       IF(AX$4=1,$E25,OFFSET(AX25,0,-2)-OFFSET(AX25,0,-1)
))))</f>
        <v>-</v>
      </c>
      <c r="AY25" s="57" t="str">
        <f>IF($H25=リスト!$AA$4,"-",
 IF($C25="-","-",
  IF(AX$4&gt;$P25,"-",
   CHOOSE(MATCH($H$3,リスト!$AE$3:$AE$5,0),
    ROUNDUP(
      AX25*IF(AX25*$I25&lt;=$L25,$J25,$I25)*
      IF($P25=1,
         $S25/12,
         IF(AX$4=1,
            $T25/12,
            IF(AX$4=$P25,
               $U25/12,
               1
      ))),0),
    ROUNDDOWN(
      AX25*IF(AX25*$I25&lt;=$L25,$J25,$I25)*
      IF($P25=1,
         $S25/12,
         IF(AX$4=1,
            $T25/12,
            IF(AX$4=$P25,
               $U25/12,
               1
      ))),0),
    ROUND(
      AX25*IF(AX25*$I25&lt;=$L25,$J25,$I25)*
      IF($P25=1,
         $S25/12,
         IF(AX$4=1,
            $T25/12,
            IF(AX$4=$P25,
               $U25/12,
               1
      ))),0)
))))</f>
        <v>-</v>
      </c>
      <c r="AZ25" s="56" t="str">
        <f ca="1">IF($H25=リスト!$AA$4,"-",
   IF($C25="-","-",
     IF(AZ$4&gt;$P25,"-",
       IF(AZ$4=1,$E25,OFFSET(AZ25,0,-2)-OFFSET(AZ25,0,-1)
))))</f>
        <v>-</v>
      </c>
      <c r="BA25" s="57" t="str">
        <f>IF($H25=リスト!$AA$4,"-",
 IF($C25="-","-",
  IF(AZ$4&gt;$P25,"-",
   CHOOSE(MATCH($H$3,リスト!$AE$3:$AE$5,0),
    ROUNDUP(
      AZ25*IF(AZ25*$I25&lt;=$L25,$J25,$I25)*
      IF($P25=1,
         $S25/12,
         IF(AZ$4=1,
            $T25/12,
            IF(AZ$4=$P25,
               $U25/12,
               1
      ))),0),
    ROUNDDOWN(
      AZ25*IF(AZ25*$I25&lt;=$L25,$J25,$I25)*
      IF($P25=1,
         $S25/12,
         IF(AZ$4=1,
            $T25/12,
            IF(AZ$4=$P25,
               $U25/12,
               1
      ))),0),
    ROUND(
      AZ25*IF(AZ25*$I25&lt;=$L25,$J25,$I25)*
      IF($P25=1,
         $S25/12,
         IF(AZ$4=1,
            $T25/12,
            IF(AZ$4=$P25,
               $U25/12,
               1
      ))),0)
))))</f>
        <v>-</v>
      </c>
      <c r="BB25" s="56" t="str">
        <f ca="1">IF($H25=リスト!$AA$4,"-",
   IF($C25="-","-",
     IF(BB$4&gt;$P25,"-",
       IF(BB$4=1,$E25,OFFSET(BB25,0,-2)-OFFSET(BB25,0,-1)
))))</f>
        <v>-</v>
      </c>
      <c r="BC25" s="57" t="str">
        <f>IF($H25=リスト!$AA$4,"-",
 IF($C25="-","-",
  IF(BB$4&gt;$P25,"-",
   CHOOSE(MATCH($H$3,リスト!$AE$3:$AE$5,0),
    ROUNDUP(
      BB25*IF(BB25*$I25&lt;=$L25,$J25,$I25)*
      IF($P25=1,
         $S25/12,
         IF(BB$4=1,
            $T25/12,
            IF(BB$4=$P25,
               $U25/12,
               1
      ))),0),
    ROUNDDOWN(
      BB25*IF(BB25*$I25&lt;=$L25,$J25,$I25)*
      IF($P25=1,
         $S25/12,
         IF(BB$4=1,
            $T25/12,
            IF(BB$4=$P25,
               $U25/12,
               1
      ))),0),
    ROUND(
      BB25*IF(BB25*$I25&lt;=$L25,$J25,$I25)*
      IF($P25=1,
         $S25/12,
         IF(BB$4=1,
            $T25/12,
            IF(BB$4=$P25,
               $U25/12,
               1
      ))),0)
))))</f>
        <v>-</v>
      </c>
      <c r="BD25" s="56" t="str">
        <f ca="1">IF($H25=リスト!$AA$4,"-",
   IF($C25="-","-",
     IF(BD$4&gt;$P25,"-",
       IF(BD$4=1,$E25,OFFSET(BD25,0,-2)-OFFSET(BD25,0,-1)
))))</f>
        <v>-</v>
      </c>
      <c r="BE25" s="57" t="str">
        <f>IF($H25=リスト!$AA$4,"-",
 IF($C25="-","-",
  IF(BD$4&gt;$P25,"-",
   CHOOSE(MATCH($H$3,リスト!$AE$3:$AE$5,0),
    ROUNDUP(
      BD25*IF(BD25*$I25&lt;=$L25,$J25,$I25)*
      IF($P25=1,
         $S25/12,
         IF(BD$4=1,
            $T25/12,
            IF(BD$4=$P25,
               $U25/12,
               1
      ))),0),
    ROUNDDOWN(
      BD25*IF(BD25*$I25&lt;=$L25,$J25,$I25)*
      IF($P25=1,
         $S25/12,
         IF(BD$4=1,
            $T25/12,
            IF(BD$4=$P25,
               $U25/12,
               1
      ))),0),
    ROUND(
      BD25*IF(BD25*$I25&lt;=$L25,$J25,$I25)*
      IF($P25=1,
         $S25/12,
         IF(BD$4=1,
            $T25/12,
            IF(BD$4=$P25,
               $U25/12,
               1
      ))),0)
))))</f>
        <v>-</v>
      </c>
      <c r="BF25" s="56" t="str">
        <f ca="1">IF($H25=リスト!$AA$4,"-",
   IF($C25="-","-",
     IF(BF$4&gt;$P25,"-",
       IF(BF$4=1,$E25,OFFSET(BF25,0,-2)-OFFSET(BF25,0,-1)
))))</f>
        <v>-</v>
      </c>
      <c r="BG25" s="57" t="str">
        <f>IF($H25=リスト!$AA$4,"-",
 IF($C25="-","-",
  IF(BF$4&gt;$P25,"-",
   CHOOSE(MATCH($H$3,リスト!$AE$3:$AE$5,0),
    ROUNDUP(
      BF25*IF(BF25*$I25&lt;=$L25,$J25,$I25)*
      IF($P25=1,
         $S25/12,
         IF(BF$4=1,
            $T25/12,
            IF(BF$4=$P25,
               $U25/12,
               1
      ))),0),
    ROUNDDOWN(
      BF25*IF(BF25*$I25&lt;=$L25,$J25,$I25)*
      IF($P25=1,
         $S25/12,
         IF(BF$4=1,
            $T25/12,
            IF(BF$4=$P25,
               $U25/12,
               1
      ))),0),
    ROUND(
      BF25*IF(BF25*$I25&lt;=$L25,$J25,$I25)*
      IF($P25=1,
         $S25/12,
         IF(BF$4=1,
            $T25/12,
            IF(BF$4=$P25,
               $U25/12,
               1
      ))),0)
))))</f>
        <v>-</v>
      </c>
      <c r="BH25" s="56" t="str">
        <f ca="1">IF($H25=リスト!$AA$4,"-",
   IF($C25="-","-",
     IF(BH$4&gt;$P25,"-",
       IF(BH$4=1,$E25,OFFSET(BH25,0,-2)-OFFSET(BH25,0,-1)
))))</f>
        <v>-</v>
      </c>
      <c r="BI25" s="57" t="str">
        <f>IF($H25=リスト!$AA$4,"-",
 IF($C25="-","-",
  IF(BH$4&gt;$P25,"-",
   CHOOSE(MATCH($H$3,リスト!$AE$3:$AE$5,0),
    ROUNDUP(
      BH25*IF(BH25*$I25&lt;=$L25,$J25,$I25)*
      IF($P25=1,
         $S25/12,
         IF(BH$4=1,
            $T25/12,
            IF(BH$4=$P25,
               $U25/12,
               1
      ))),0),
    ROUNDDOWN(
      BH25*IF(BH25*$I25&lt;=$L25,$J25,$I25)*
      IF($P25=1,
         $S25/12,
         IF(BH$4=1,
            $T25/12,
            IF(BH$4=$P25,
               $U25/12,
               1
      ))),0),
    ROUND(
      BH25*IF(BH25*$I25&lt;=$L25,$J25,$I25)*
      IF($P25=1,
         $S25/12,
         IF(BH$4=1,
            $T25/12,
            IF(BH$4=$P25,
               $U25/12,
               1
      ))),0)
))))</f>
        <v>-</v>
      </c>
      <c r="BJ25" s="56" t="str">
        <f ca="1">IF($H25=リスト!$AA$4,"-",
   IF($C25="-","-",
     IF(BJ$4&gt;$P25,"-",
       IF(BJ$4=1,$E25,OFFSET(BJ25,0,-2)-OFFSET(BJ25,0,-1)
))))</f>
        <v>-</v>
      </c>
      <c r="BK25" s="57" t="str">
        <f>IF($H25=リスト!$AA$4,"-",
 IF($C25="-","-",
  IF(BJ$4&gt;$P25,"-",
   CHOOSE(MATCH($H$3,リスト!$AE$3:$AE$5,0),
    ROUNDUP(
      BJ25*IF(BJ25*$I25&lt;=$L25,$J25,$I25)*
      IF($P25=1,
         $S25/12,
         IF(BJ$4=1,
            $T25/12,
            IF(BJ$4=$P25,
               $U25/12,
               1
      ))),0),
    ROUNDDOWN(
      BJ25*IF(BJ25*$I25&lt;=$L25,$J25,$I25)*
      IF($P25=1,
         $S25/12,
         IF(BJ$4=1,
            $T25/12,
            IF(BJ$4=$P25,
               $U25/12,
               1
      ))),0),
    ROUND(
      BJ25*IF(BJ25*$I25&lt;=$L25,$J25,$I25)*
      IF($P25=1,
         $S25/12,
         IF(BJ$4=1,
            $T25/12,
            IF(BJ$4=$P25,
               $U25/12,
               1
      ))),0)
))))</f>
        <v>-</v>
      </c>
      <c r="BL25" s="56" t="str">
        <f ca="1">IF($H25=リスト!$AA$4,"-",
   IF($C25="-","-",
     IF(BL$4&gt;$P25,"-",
       IF(BL$4=1,$E25,OFFSET(BL25,0,-2)-OFFSET(BL25,0,-1)
))))</f>
        <v>-</v>
      </c>
      <c r="BM25" s="57" t="str">
        <f>IF($H25=リスト!$AA$4,"-",
 IF($C25="-","-",
  IF(BL$4&gt;$P25,"-",
   CHOOSE(MATCH($H$3,リスト!$AE$3:$AE$5,0),
    ROUNDUP(
      BL25*IF(BL25*$I25&lt;=$L25,$J25,$I25)*
      IF($P25=1,
         $S25/12,
         IF(BL$4=1,
            $T25/12,
            IF(BL$4=$P25,
               $U25/12,
               1
      ))),0),
    ROUNDDOWN(
      BL25*IF(BL25*$I25&lt;=$L25,$J25,$I25)*
      IF($P25=1,
         $S25/12,
         IF(BL$4=1,
            $T25/12,
            IF(BL$4=$P25,
               $U25/12,
               1
      ))),0),
    ROUND(
      BL25*IF(BL25*$I25&lt;=$L25,$J25,$I25)*
      IF($P25=1,
         $S25/12,
         IF(BL$4=1,
            $T25/12,
            IF(BL$4=$P25,
               $U25/12,
               1
      ))),0)
))))</f>
        <v>-</v>
      </c>
      <c r="BN25" s="56" t="str">
        <f ca="1">IF($H25=リスト!$AA$4,"-",
   IF($C25="-","-",
     IF(BN$4&gt;$P25,"-",
       IF(BN$4=1,$E25,OFFSET(BN25,0,-2)-OFFSET(BN25,0,-1)
))))</f>
        <v>-</v>
      </c>
      <c r="BO25" s="57" t="str">
        <f>IF($H25=リスト!$AA$4,"-",
 IF($C25="-","-",
  IF(BN$4&gt;$P25,"-",
   CHOOSE(MATCH($H$3,リスト!$AE$3:$AE$5,0),
    ROUNDUP(
      BN25*IF(BN25*$I25&lt;=$L25,$J25,$I25)*
      IF($P25=1,
         $S25/12,
         IF(BN$4=1,
            $T25/12,
            IF(BN$4=$P25,
               $U25/12,
               1
      ))),0),
    ROUNDDOWN(
      BN25*IF(BN25*$I25&lt;=$L25,$J25,$I25)*
      IF($P25=1,
         $S25/12,
         IF(BN$4=1,
            $T25/12,
            IF(BN$4=$P25,
               $U25/12,
               1
      ))),0),
    ROUND(
      BN25*IF(BN25*$I25&lt;=$L25,$J25,$I25)*
      IF($P25=1,
         $S25/12,
         IF(BN$4=1,
            $T25/12,
            IF(BN$4=$P25,
               $U25/12,
               1
      ))),0)
))))</f>
        <v>-</v>
      </c>
      <c r="BP25" s="56" t="str">
        <f ca="1">IF($H25=リスト!$AA$4,"-",
   IF($C25="-","-",
     IF(BP$4&gt;$P25,"-",
       IF(BP$4=1,$E25,OFFSET(BP25,0,-2)-OFFSET(BP25,0,-1)
))))</f>
        <v>-</v>
      </c>
      <c r="BQ25" s="57" t="str">
        <f>IF($H25=リスト!$AA$4,"-",
 IF($C25="-","-",
  IF(BP$4&gt;$P25,"-",
   CHOOSE(MATCH($H$3,リスト!$AE$3:$AE$5,0),
    ROUNDUP(
      BP25*IF(BP25*$I25&lt;=$L25,$J25,$I25)*
      IF($P25=1,
         $S25/12,
         IF(BP$4=1,
            $T25/12,
            IF(BP$4=$P25,
               $U25/12,
               1
      ))),0),
    ROUNDDOWN(
      BP25*IF(BP25*$I25&lt;=$L25,$J25,$I25)*
      IF($P25=1,
         $S25/12,
         IF(BP$4=1,
            $T25/12,
            IF(BP$4=$P25,
               $U25/12,
               1
      ))),0),
    ROUND(
      BP25*IF(BP25*$I25&lt;=$L25,$J25,$I25)*
      IF($P25=1,
         $S25/12,
         IF(BP$4=1,
            $T25/12,
            IF(BP$4=$P25,
               $U25/12,
               1
      ))),0)
))))</f>
        <v>-</v>
      </c>
      <c r="BR25" s="56" t="str">
        <f ca="1">IF($H25=リスト!$AA$4,"-",
   IF($C25="-","-",
     IF(BR$4&gt;$P25,"-",
       IF(BR$4=1,$E25,OFFSET(BR25,0,-2)-OFFSET(BR25,0,-1)
))))</f>
        <v>-</v>
      </c>
      <c r="BS25" s="57" t="str">
        <f>IF($H25=リスト!$AA$4,"-",
 IF($C25="-","-",
  IF(BR$4&gt;$P25,"-",
   CHOOSE(MATCH($H$3,リスト!$AE$3:$AE$5,0),
    ROUNDUP(
      BR25*IF(BR25*$I25&lt;=$L25,$J25,$I25)*
      IF($P25=1,
         $S25/12,
         IF(BR$4=1,
            $T25/12,
            IF(BR$4=$P25,
               $U25/12,
               1
      ))),0),
    ROUNDDOWN(
      BR25*IF(BR25*$I25&lt;=$L25,$J25,$I25)*
      IF($P25=1,
         $S25/12,
         IF(BR$4=1,
            $T25/12,
            IF(BR$4=$P25,
               $U25/12,
               1
      ))),0),
    ROUND(
      BR25*IF(BR25*$I25&lt;=$L25,$J25,$I25)*
      IF($P25=1,
         $S25/12,
         IF(BR$4=1,
            $T25/12,
            IF(BR$4=$P25,
               $U25/12,
               1
      ))),0)
))))</f>
        <v>-</v>
      </c>
      <c r="BT25" s="56" t="str">
        <f ca="1">IF($H25=リスト!$AA$4,"-",
   IF($C25="-","-",
     IF(BT$4&gt;$P25,"-",
       IF(BT$4=1,$E25,OFFSET(BT25,0,-2)-OFFSET(BT25,0,-1)
))))</f>
        <v>-</v>
      </c>
      <c r="BU25" s="57" t="str">
        <f>IF($H25=リスト!$AA$4,"-",
 IF($C25="-","-",
  IF(BT$4&gt;$P25,"-",
   CHOOSE(MATCH($H$3,リスト!$AE$3:$AE$5,0),
    ROUNDUP(
      BT25*IF(BT25*$I25&lt;=$L25,$J25,$I25)*
      IF($P25=1,
         $S25/12,
         IF(BT$4=1,
            $T25/12,
            IF(BT$4=$P25,
               $U25/12,
               1
      ))),0),
    ROUNDDOWN(
      BT25*IF(BT25*$I25&lt;=$L25,$J25,$I25)*
      IF($P25=1,
         $S25/12,
         IF(BT$4=1,
            $T25/12,
            IF(BT$4=$P25,
               $U25/12,
               1
      ))),0),
    ROUND(
      BT25*IF(BT25*$I25&lt;=$L25,$J25,$I25)*
      IF($P25=1,
         $S25/12,
         IF(BT$4=1,
            $T25/12,
            IF(BT$4=$P25,
               $U25/12,
               1
      ))),0)
))))</f>
        <v>-</v>
      </c>
      <c r="BV25" s="56" t="str">
        <f ca="1">IF($H25=リスト!$AA$4,"-",
   IF($C25="-","-",
     IF(BV$4&gt;$P25,"-",
       IF(BV$4=1,$E25,OFFSET(BV25,0,-2)-OFFSET(BV25,0,-1)
))))</f>
        <v>-</v>
      </c>
      <c r="BW25" s="57" t="str">
        <f>IF($H25=リスト!$AA$4,"-",
 IF($C25="-","-",
  IF(BV$4&gt;$P25,"-",
   CHOOSE(MATCH($H$3,リスト!$AE$3:$AE$5,0),
    ROUNDUP(
      BV25*IF(BV25*$I25&lt;=$L25,$J25,$I25)*
      IF($P25=1,
         $S25/12,
         IF(BV$4=1,
            $T25/12,
            IF(BV$4=$P25,
               $U25/12,
               1
      ))),0),
    ROUNDDOWN(
      BV25*IF(BV25*$I25&lt;=$L25,$J25,$I25)*
      IF($P25=1,
         $S25/12,
         IF(BV$4=1,
            $T25/12,
            IF(BV$4=$P25,
               $U25/12,
               1
      ))),0),
    ROUND(
      BV25*IF(BV25*$I25&lt;=$L25,$J25,$I25)*
      IF($P25=1,
         $S25/12,
         IF(BV$4=1,
            $T25/12,
            IF(BV$4=$P25,
               $U25/12,
               1
      ))),0)
))))</f>
        <v>-</v>
      </c>
      <c r="BX25" s="56" t="str">
        <f ca="1">IF($H25=リスト!$AA$4,"-",
   IF($C25="-","-",
     IF(BX$4&gt;$P25,"-",
       IF(BX$4=1,$E25,OFFSET(BX25,0,-2)-OFFSET(BX25,0,-1)
))))</f>
        <v>-</v>
      </c>
      <c r="BY25" s="57" t="str">
        <f>IF($H25=リスト!$AA$4,"-",
 IF($C25="-","-",
  IF(BX$4&gt;$P25,"-",
   CHOOSE(MATCH($H$3,リスト!$AE$3:$AE$5,0),
    ROUNDUP(
      BX25*IF(BX25*$I25&lt;=$L25,$J25,$I25)*
      IF($P25=1,
         $S25/12,
         IF(BX$4=1,
            $T25/12,
            IF(BX$4=$P25,
               $U25/12,
               1
      ))),0),
    ROUNDDOWN(
      BX25*IF(BX25*$I25&lt;=$L25,$J25,$I25)*
      IF($P25=1,
         $S25/12,
         IF(BX$4=1,
            $T25/12,
            IF(BX$4=$P25,
               $U25/12,
               1
      ))),0),
    ROUND(
      BX25*IF(BX25*$I25&lt;=$L25,$J25,$I25)*
      IF($P25=1,
         $S25/12,
         IF(BX$4=1,
            $T25/12,
            IF(BX$4=$P25,
               $U25/12,
               1
      ))),0)
))))</f>
        <v>-</v>
      </c>
      <c r="BZ25" s="56" t="str">
        <f ca="1">IF($H25=リスト!$AA$4,"-",
   IF($C25="-","-",
     IF(BZ$4&gt;$P25,"-",
       IF(BZ$4=1,$E25,OFFSET(BZ25,0,-2)-OFFSET(BZ25,0,-1)
))))</f>
        <v>-</v>
      </c>
      <c r="CA25" s="57" t="str">
        <f>IF($H25=リスト!$AA$4,"-",
 IF($C25="-","-",
  IF(BZ$4&gt;$P25,"-",
   CHOOSE(MATCH($H$3,リスト!$AE$3:$AE$5,0),
    ROUNDUP(
      BZ25*IF(BZ25*$I25&lt;=$L25,$J25,$I25)*
      IF($P25=1,
         $S25/12,
         IF(BZ$4=1,
            $T25/12,
            IF(BZ$4=$P25,
               $U25/12,
               1
      ))),0),
    ROUNDDOWN(
      BZ25*IF(BZ25*$I25&lt;=$L25,$J25,$I25)*
      IF($P25=1,
         $S25/12,
         IF(BZ$4=1,
            $T25/12,
            IF(BZ$4=$P25,
               $U25/12,
               1
      ))),0),
    ROUND(
      BZ25*IF(BZ25*$I25&lt;=$L25,$J25,$I25)*
      IF($P25=1,
         $S25/12,
         IF(BZ$4=1,
            $T25/12,
            IF(BZ$4=$P25,
               $U25/12,
               1
      ))),0)
))))</f>
        <v>-</v>
      </c>
      <c r="CB25" s="56" t="str">
        <f ca="1">IF($H25=リスト!$AA$4,"-",
   IF($C25="-","-",
     IF(CB$4&gt;$P25,"-",
       IF(CB$4=1,$E25,OFFSET(CB25,0,-2)-OFFSET(CB25,0,-1)
))))</f>
        <v>-</v>
      </c>
      <c r="CC25" s="57" t="str">
        <f>IF($H25=リスト!$AA$4,"-",
 IF($C25="-","-",
  IF(CB$4&gt;$P25,"-",
   CHOOSE(MATCH($H$3,リスト!$AE$3:$AE$5,0),
    ROUNDUP(
      CB25*IF(CB25*$I25&lt;=$L25,$J25,$I25)*
      IF($P25=1,
         $S25/12,
         IF(CB$4=1,
            $T25/12,
            IF(CB$4=$P25,
               $U25/12,
               1
      ))),0),
    ROUNDDOWN(
      CB25*IF(CB25*$I25&lt;=$L25,$J25,$I25)*
      IF($P25=1,
         $S25/12,
         IF(CB$4=1,
            $T25/12,
            IF(CB$4=$P25,
               $U25/12,
               1
      ))),0),
    ROUND(
      CB25*IF(CB25*$I25&lt;=$L25,$J25,$I25)*
      IF($P25=1,
         $S25/12,
         IF(CB$4=1,
            $T25/12,
            IF(CB$4=$P25,
               $U25/12,
               1
      ))),0)
))))</f>
        <v>-</v>
      </c>
      <c r="CD25" s="56" t="str">
        <f ca="1">IF($H25=リスト!$AA$4,"-",
   IF($C25="-","-",
     IF(CD$4&gt;$P25,"-",
       IF(CD$4=1,$E25,OFFSET(CD25,0,-2)-OFFSET(CD25,0,-1)
))))</f>
        <v>-</v>
      </c>
      <c r="CE25" s="57" t="str">
        <f>IF($H25=リスト!$AA$4,"-",
 IF($C25="-","-",
  IF(CD$4&gt;$P25,"-",
   CHOOSE(MATCH($H$3,リスト!$AE$3:$AE$5,0),
    ROUNDUP(
      CD25*IF(CD25*$I25&lt;=$L25,$J25,$I25)*
      IF($P25=1,
         $S25/12,
         IF(CD$4=1,
            $T25/12,
            IF(CD$4=$P25,
               $U25/12,
               1
      ))),0),
    ROUNDDOWN(
      CD25*IF(CD25*$I25&lt;=$L25,$J25,$I25)*
      IF($P25=1,
         $S25/12,
         IF(CD$4=1,
            $T25/12,
            IF(CD$4=$P25,
               $U25/12,
               1
      ))),0),
    ROUND(
      CD25*IF(CD25*$I25&lt;=$L25,$J25,$I25)*
      IF($P25=1,
         $S25/12,
         IF(CD$4=1,
            $T25/12,
            IF(CD$4=$P25,
               $U25/12,
               1
      ))),0)
))))</f>
        <v>-</v>
      </c>
      <c r="CF25" s="56" t="str">
        <f ca="1">IF($H25=リスト!$AA$4,"-",
   IF($C25="-","-",
     IF(CF$4&gt;$P25,"-",
       IF(CF$4=1,$E25,OFFSET(CF25,0,-2)-OFFSET(CF25,0,-1)
))))</f>
        <v>-</v>
      </c>
      <c r="CG25" s="57" t="str">
        <f>IF($H25=リスト!$AA$4,"-",
 IF($C25="-","-",
  IF(CF$4&gt;$P25,"-",
   CHOOSE(MATCH($H$3,リスト!$AE$3:$AE$5,0),
    ROUNDUP(
      CF25*IF(CF25*$I25&lt;=$L25,$J25,$I25)*
      IF($P25=1,
         $S25/12,
         IF(CF$4=1,
            $T25/12,
            IF(CF$4=$P25,
               $U25/12,
               1
      ))),0),
    ROUNDDOWN(
      CF25*IF(CF25*$I25&lt;=$L25,$J25,$I25)*
      IF($P25=1,
         $S25/12,
         IF(CF$4=1,
            $T25/12,
            IF(CF$4=$P25,
               $U25/12,
               1
      ))),0),
    ROUND(
      CF25*IF(CF25*$I25&lt;=$L25,$J25,$I25)*
      IF($P25=1,
         $S25/12,
         IF(CF$4=1,
            $T25/12,
            IF(CF$4=$P25,
               $U25/12,
               1
      ))),0)
))))</f>
        <v>-</v>
      </c>
      <c r="CH25" s="56" t="str">
        <f ca="1">IF($H25=リスト!$AA$4,"-",
   IF($C25="-","-",
     IF(CH$4&gt;$P25,"-",
       IF(CH$4=1,$E25,OFFSET(CH25,0,-2)-OFFSET(CH25,0,-1)
))))</f>
        <v>-</v>
      </c>
      <c r="CI25" s="57" t="str">
        <f>IF($H25=リスト!$AA$4,"-",
 IF($C25="-","-",
  IF(CH$4&gt;$P25,"-",
   CHOOSE(MATCH($H$3,リスト!$AE$3:$AE$5,0),
    ROUNDUP(
      CH25*IF(CH25*$I25&lt;=$L25,$J25,$I25)*
      IF($P25=1,
         $S25/12,
         IF(CH$4=1,
            $T25/12,
            IF(CH$4=$P25,
               $U25/12,
               1
      ))),0),
    ROUNDDOWN(
      CH25*IF(CH25*$I25&lt;=$L25,$J25,$I25)*
      IF($P25=1,
         $S25/12,
         IF(CH$4=1,
            $T25/12,
            IF(CH$4=$P25,
               $U25/12,
               1
      ))),0),
    ROUND(
      CH25*IF(CH25*$I25&lt;=$L25,$J25,$I25)*
      IF($P25=1,
         $S25/12,
         IF(CH$4=1,
            $T25/12,
            IF(CH$4=$P25,
               $U25/12,
               1
      ))),0)
))))</f>
        <v>-</v>
      </c>
      <c r="CJ25" s="56" t="str">
        <f ca="1">IF($H25=リスト!$AA$4,"-",
   IF($C25="-","-",
     IF(CJ$4&gt;$P25,"-",
       IF(CJ$4=1,$E25,OFFSET(CJ25,0,-2)-OFFSET(CJ25,0,-1)
))))</f>
        <v>-</v>
      </c>
      <c r="CK25" s="57" t="str">
        <f>IF($H25=リスト!$AA$4,"-",
 IF($C25="-","-",
  IF(CJ$4&gt;$P25,"-",
   CHOOSE(MATCH($H$3,リスト!$AE$3:$AE$5,0),
    ROUNDUP(
      CJ25*IF(CJ25*$I25&lt;=$L25,$J25,$I25)*
      IF($P25=1,
         $S25/12,
         IF(CJ$4=1,
            $T25/12,
            IF(CJ$4=$P25,
               $U25/12,
               1
      ))),0),
    ROUNDDOWN(
      CJ25*IF(CJ25*$I25&lt;=$L25,$J25,$I25)*
      IF($P25=1,
         $S25/12,
         IF(CJ$4=1,
            $T25/12,
            IF(CJ$4=$P25,
               $U25/12,
               1
      ))),0),
    ROUND(
      CJ25*IF(CJ25*$I25&lt;=$L25,$J25,$I25)*
      IF($P25=1,
         $S25/12,
         IF(CJ$4=1,
            $T25/12,
            IF(CJ$4=$P25,
               $U25/12,
               1
      ))),0)
))))</f>
        <v>-</v>
      </c>
      <c r="CL25" s="56" t="str">
        <f ca="1">IF($H25=リスト!$AA$4,"-",
   IF($C25="-","-",
     IF(CL$4&gt;$P25,"-",
       IF(CL$4=1,$E25,OFFSET(CL25,0,-2)-OFFSET(CL25,0,-1)
))))</f>
        <v>-</v>
      </c>
      <c r="CM25" s="57" t="str">
        <f>IF($H25=リスト!$AA$4,"-",
 IF($C25="-","-",
  IF(CL$4&gt;$P25,"-",
   CHOOSE(MATCH($H$3,リスト!$AE$3:$AE$5,0),
    ROUNDUP(
      CL25*IF(CL25*$I25&lt;=$L25,$J25,$I25)*
      IF($P25=1,
         $S25/12,
         IF(CL$4=1,
            $T25/12,
            IF(CL$4=$P25,
               $U25/12,
               1
      ))),0),
    ROUNDDOWN(
      CL25*IF(CL25*$I25&lt;=$L25,$J25,$I25)*
      IF($P25=1,
         $S25/12,
         IF(CL$4=1,
            $T25/12,
            IF(CL$4=$P25,
               $U25/12,
               1
      ))),0),
    ROUND(
      CL25*IF(CL25*$I25&lt;=$L25,$J25,$I25)*
      IF($P25=1,
         $S25/12,
         IF(CL$4=1,
            $T25/12,
            IF(CL$4=$P25,
               $U25/12,
               1
      ))),0)
))))</f>
        <v>-</v>
      </c>
      <c r="CN25" s="56" t="str">
        <f ca="1">IF($H25=リスト!$AA$4,"-",
   IF($C25="-","-",
     IF(CN$4&gt;$P25,"-",
       IF(CN$4=1,$E25,OFFSET(CN25,0,-2)-OFFSET(CN25,0,-1)
))))</f>
        <v>-</v>
      </c>
      <c r="CO25" s="57" t="str">
        <f>IF($H25=リスト!$AA$4,"-",
 IF($C25="-","-",
  IF(CN$4&gt;$P25,"-",
   CHOOSE(MATCH($H$3,リスト!$AE$3:$AE$5,0),
    ROUNDUP(
      CN25*IF(CN25*$I25&lt;=$L25,$J25,$I25)*
      IF($P25=1,
         $S25/12,
         IF(CN$4=1,
            $T25/12,
            IF(CN$4=$P25,
               $U25/12,
               1
      ))),0),
    ROUNDDOWN(
      CN25*IF(CN25*$I25&lt;=$L25,$J25,$I25)*
      IF($P25=1,
         $S25/12,
         IF(CN$4=1,
            $T25/12,
            IF(CN$4=$P25,
               $U25/12,
               1
      ))),0),
    ROUND(
      CN25*IF(CN25*$I25&lt;=$L25,$J25,$I25)*
      IF($P25=1,
         $S25/12,
         IF(CN$4=1,
            $T25/12,
            IF(CN$4=$P25,
               $U25/12,
               1
      ))),0)
))))</f>
        <v>-</v>
      </c>
      <c r="CP25" s="56" t="str">
        <f ca="1">IF($H25=リスト!$AA$4,"-",
   IF($C25="-","-",
     IF(CP$4&gt;$P25,"-",
       IF(CP$4=1,$E25,OFFSET(CP25,0,-2)-OFFSET(CP25,0,-1)
))))</f>
        <v>-</v>
      </c>
      <c r="CQ25" s="57" t="str">
        <f>IF($H25=リスト!$AA$4,"-",
 IF($C25="-","-",
  IF(CP$4&gt;$P25,"-",
   CHOOSE(MATCH($H$3,リスト!$AE$3:$AE$5,0),
    ROUNDUP(
      CP25*IF(CP25*$I25&lt;=$L25,$J25,$I25)*
      IF($P25=1,
         $S25/12,
         IF(CP$4=1,
            $T25/12,
            IF(CP$4=$P25,
               $U25/12,
               1
      ))),0),
    ROUNDDOWN(
      CP25*IF(CP25*$I25&lt;=$L25,$J25,$I25)*
      IF($P25=1,
         $S25/12,
         IF(CP$4=1,
            $T25/12,
            IF(CP$4=$P25,
               $U25/12,
               1
      ))),0),
    ROUND(
      CP25*IF(CP25*$I25&lt;=$L25,$J25,$I25)*
      IF($P25=1,
         $S25/12,
         IF(CP$4=1,
            $T25/12,
            IF(CP$4=$P25,
               $U25/12,
               1
      ))),0)
))))</f>
        <v>-</v>
      </c>
      <c r="CR25" s="56" t="str">
        <f ca="1">IF($H25=リスト!$AA$4,"-",
   IF($C25="-","-",
     IF(CR$4&gt;$P25,"-",
       IF(CR$4=1,$E25,OFFSET(CR25,0,-2)-OFFSET(CR25,0,-1)
))))</f>
        <v>-</v>
      </c>
      <c r="CS25" s="57" t="str">
        <f>IF($H25=リスト!$AA$4,"-",
 IF($C25="-","-",
  IF(CR$4&gt;$P25,"-",
   CHOOSE(MATCH($H$3,リスト!$AE$3:$AE$5,0),
    ROUNDUP(
      CR25*IF(CR25*$I25&lt;=$L25,$J25,$I25)*
      IF($P25=1,
         $S25/12,
         IF(CR$4=1,
            $T25/12,
            IF(CR$4=$P25,
               $U25/12,
               1
      ))),0),
    ROUNDDOWN(
      CR25*IF(CR25*$I25&lt;=$L25,$J25,$I25)*
      IF($P25=1,
         $S25/12,
         IF(CR$4=1,
            $T25/12,
            IF(CR$4=$P25,
               $U25/12,
               1
      ))),0),
    ROUND(
      CR25*IF(CR25*$I25&lt;=$L25,$J25,$I25)*
      IF($P25=1,
         $S25/12,
         IF(CR$4=1,
            $T25/12,
            IF(CR$4=$P25,
               $U25/12,
               1
      ))),0)
))))</f>
        <v>-</v>
      </c>
      <c r="CT25" s="56" t="str">
        <f ca="1">IF($H25=リスト!$AA$4,"-",
   IF($C25="-","-",
     IF(CT$4&gt;$P25,"-",
       IF(CT$4=1,$E25,OFFSET(CT25,0,-2)-OFFSET(CT25,0,-1)
))))</f>
        <v>-</v>
      </c>
      <c r="CU25" s="57" t="str">
        <f>IF($H25=リスト!$AA$4,"-",
 IF($C25="-","-",
  IF(CT$4&gt;$P25,"-",
   CHOOSE(MATCH($H$3,リスト!$AE$3:$AE$5,0),
    ROUNDUP(
      CT25*IF(CT25*$I25&lt;=$L25,$J25,$I25)*
      IF($P25=1,
         $S25/12,
         IF(CT$4=1,
            $T25/12,
            IF(CT$4=$P25,
               $U25/12,
               1
      ))),0),
    ROUNDDOWN(
      CT25*IF(CT25*$I25&lt;=$L25,$J25,$I25)*
      IF($P25=1,
         $S25/12,
         IF(CT$4=1,
            $T25/12,
            IF(CT$4=$P25,
               $U25/12,
               1
      ))),0),
    ROUND(
      CT25*IF(CT25*$I25&lt;=$L25,$J25,$I25)*
      IF($P25=1,
         $S25/12,
         IF(CT$4=1,
            $T25/12,
            IF(CT$4=$P25,
               $U25/12,
               1
      ))),0)
))))</f>
        <v>-</v>
      </c>
      <c r="CV25" s="56" t="str">
        <f ca="1">IF($H25=リスト!$AA$4,"-",
   IF($C25="-","-",
     IF(CV$4&gt;$P25,"-",
       IF(CV$4=1,$E25,OFFSET(CV25,0,-2)-OFFSET(CV25,0,-1)
))))</f>
        <v>-</v>
      </c>
      <c r="CW25" s="57" t="str">
        <f>IF($H25=リスト!$AA$4,"-",
 IF($C25="-","-",
  IF(CV$4&gt;$P25,"-",
   CHOOSE(MATCH($H$3,リスト!$AE$3:$AE$5,0),
    ROUNDUP(
      CV25*IF(CV25*$I25&lt;=$L25,$J25,$I25)*
      IF($P25=1,
         $S25/12,
         IF(CV$4=1,
            $T25/12,
            IF(CV$4=$P25,
               $U25/12,
               1
      ))),0),
    ROUNDDOWN(
      CV25*IF(CV25*$I25&lt;=$L25,$J25,$I25)*
      IF($P25=1,
         $S25/12,
         IF(CV$4=1,
            $T25/12,
            IF(CV$4=$P25,
               $U25/12,
               1
      ))),0),
    ROUND(
      CV25*IF(CV25*$I25&lt;=$L25,$J25,$I25)*
      IF($P25=1,
         $S25/12,
         IF(CV$4=1,
            $T25/12,
            IF(CV$4=$P25,
               $U25/12,
               1
      ))),0)
))))</f>
        <v>-</v>
      </c>
      <c r="CX25" s="56" t="str">
        <f ca="1">IF($H25=リスト!$AA$4,"-",
   IF($C25="-","-",
     IF(CX$4&gt;$P25,"-",
       IF(CX$4=1,$E25,OFFSET(CX25,0,-2)-OFFSET(CX25,0,-1)
))))</f>
        <v>-</v>
      </c>
      <c r="CY25" s="57" t="str">
        <f>IF($H25=リスト!$AA$4,"-",
 IF($C25="-","-",
  IF(CX$4&gt;$P25,"-",
   CHOOSE(MATCH($H$3,リスト!$AE$3:$AE$5,0),
    ROUNDUP(
      CX25*IF(CX25*$I25&lt;=$L25,$J25,$I25)*
      IF($P25=1,
         $S25/12,
         IF(CX$4=1,
            $T25/12,
            IF(CX$4=$P25,
               $U25/12,
               1
      ))),0),
    ROUNDDOWN(
      CX25*IF(CX25*$I25&lt;=$L25,$J25,$I25)*
      IF($P25=1,
         $S25/12,
         IF(CX$4=1,
            $T25/12,
            IF(CX$4=$P25,
               $U25/12,
               1
      ))),0),
    ROUND(
      CX25*IF(CX25*$I25&lt;=$L25,$J25,$I25)*
      IF($P25=1,
         $S25/12,
         IF(CX$4=1,
            $T25/12,
            IF(CX$4=$P25,
               $U25/12,
               1
      ))),0)
))))</f>
        <v>-</v>
      </c>
      <c r="CZ25" s="56" t="str">
        <f ca="1">IF($H25=リスト!$AA$4,"-",
   IF($C25="-","-",
     IF(CZ$4&gt;$P25,"-",
       IF(CZ$4=1,$E25,OFFSET(CZ25,0,-2)-OFFSET(CZ25,0,-1)
))))</f>
        <v>-</v>
      </c>
      <c r="DA25" s="57" t="str">
        <f>IF($H25=リスト!$AA$4,"-",
 IF($C25="-","-",
  IF(CZ$4&gt;$P25,"-",
   CHOOSE(MATCH($H$3,リスト!$AE$3:$AE$5,0),
    ROUNDUP(
      CZ25*IF(CZ25*$I25&lt;=$L25,$J25,$I25)*
      IF($P25=1,
         $S25/12,
         IF(CZ$4=1,
            $T25/12,
            IF(CZ$4=$P25,
               $U25/12,
               1
      ))),0),
    ROUNDDOWN(
      CZ25*IF(CZ25*$I25&lt;=$L25,$J25,$I25)*
      IF($P25=1,
         $S25/12,
         IF(CZ$4=1,
            $T25/12,
            IF(CZ$4=$P25,
               $U25/12,
               1
      ))),0),
    ROUND(
      CZ25*IF(CZ25*$I25&lt;=$L25,$J25,$I25)*
      IF($P25=1,
         $S25/12,
         IF(CZ$4=1,
            $T25/12,
            IF(CZ$4=$P25,
               $U25/12,
               1
      ))),0)
))))</f>
        <v>-</v>
      </c>
      <c r="DB25" s="56" t="str">
        <f ca="1">IF($H25=リスト!$AA$4,"-",
   IF($C25="-","-",
     IF(DB$4&gt;$P25,"-",
       IF(DB$4=1,$E25,OFFSET(DB25,0,-2)-OFFSET(DB25,0,-1)
))))</f>
        <v>-</v>
      </c>
      <c r="DC25" s="57" t="str">
        <f>IF($H25=リスト!$AA$4,"-",
 IF($C25="-","-",
  IF(DB$4&gt;$P25,"-",
   CHOOSE(MATCH($H$3,リスト!$AE$3:$AE$5,0),
    ROUNDUP(
      DB25*IF(DB25*$I25&lt;=$L25,$J25,$I25)*
      IF($P25=1,
         $S25/12,
         IF(DB$4=1,
            $T25/12,
            IF(DB$4=$P25,
               $U25/12,
               1
      ))),0),
    ROUNDDOWN(
      DB25*IF(DB25*$I25&lt;=$L25,$J25,$I25)*
      IF($P25=1,
         $S25/12,
         IF(DB$4=1,
            $T25/12,
            IF(DB$4=$P25,
               $U25/12,
               1
      ))),0),
    ROUND(
      DB25*IF(DB25*$I25&lt;=$L25,$J25,$I25)*
      IF($P25=1,
         $S25/12,
         IF(DB$4=1,
            $T25/12,
            IF(DB$4=$P25,
               $U25/12,
               1
      ))),0)
))))</f>
        <v>-</v>
      </c>
      <c r="DD25" s="56" t="str">
        <f ca="1">IF($H25=リスト!$AA$4,"-",
   IF($C25="-","-",
     IF(DD$4&gt;$P25,"-",
       IF(DD$4=1,$E25,OFFSET(DD25,0,-2)-OFFSET(DD25,0,-1)
))))</f>
        <v>-</v>
      </c>
      <c r="DE25" s="57" t="str">
        <f>IF($H25=リスト!$AA$4,"-",
 IF($C25="-","-",
  IF(DD$4&gt;$P25,"-",
   CHOOSE(MATCH($H$3,リスト!$AE$3:$AE$5,0),
    ROUNDUP(
      DD25*IF(DD25*$I25&lt;=$L25,$J25,$I25)*
      IF($P25=1,
         $S25/12,
         IF(DD$4=1,
            $T25/12,
            IF(DD$4=$P25,
               $U25/12,
               1
      ))),0),
    ROUNDDOWN(
      DD25*IF(DD25*$I25&lt;=$L25,$J25,$I25)*
      IF($P25=1,
         $S25/12,
         IF(DD$4=1,
            $T25/12,
            IF(DD$4=$P25,
               $U25/12,
               1
      ))),0),
    ROUND(
      DD25*IF(DD25*$I25&lt;=$L25,$J25,$I25)*
      IF($P25=1,
         $S25/12,
         IF(DD$4=1,
            $T25/12,
            IF(DD$4=$P25,
               $U25/12,
               1
      ))),0)
))))</f>
        <v>-</v>
      </c>
      <c r="DF25" s="56" t="str">
        <f ca="1">IF($H25=リスト!$AA$4,"-",
   IF($C25="-","-",
     IF(DF$4&gt;$P25,"-",
       IF(DF$4=1,$E25,OFFSET(DF25,0,-2)-OFFSET(DF25,0,-1)
))))</f>
        <v>-</v>
      </c>
      <c r="DG25" s="57" t="str">
        <f>IF($H25=リスト!$AA$4,"-",
 IF($C25="-","-",
  IF(DF$4&gt;$P25,"-",
   CHOOSE(MATCH($H$3,リスト!$AE$3:$AE$5,0),
    ROUNDUP(
      DF25*IF(DF25*$I25&lt;=$L25,$J25,$I25)*
      IF($P25=1,
         $S25/12,
         IF(DF$4=1,
            $T25/12,
            IF(DF$4=$P25,
               $U25/12,
               1
      ))),0),
    ROUNDDOWN(
      DF25*IF(DF25*$I25&lt;=$L25,$J25,$I25)*
      IF($P25=1,
         $S25/12,
         IF(DF$4=1,
            $T25/12,
            IF(DF$4=$P25,
               $U25/12,
               1
      ))),0),
    ROUND(
      DF25*IF(DF25*$I25&lt;=$L25,$J25,$I25)*
      IF($P25=1,
         $S25/12,
         IF(DF$4=1,
            $T25/12,
            IF(DF$4=$P25,
               $U25/12,
               1
      ))),0)
))))</f>
        <v>-</v>
      </c>
      <c r="DH25" s="56" t="str">
        <f ca="1">IF($H25=リスト!$AA$4,"-",
   IF($C25="-","-",
     IF(DH$4&gt;$P25,"-",
       IF(DH$4=1,$E25,OFFSET(DH25,0,-2)-OFFSET(DH25,0,-1)
))))</f>
        <v>-</v>
      </c>
      <c r="DI25" s="57" t="str">
        <f>IF($H25=リスト!$AA$4,"-",
 IF($C25="-","-",
  IF(DH$4&gt;$P25,"-",
   CHOOSE(MATCH($H$3,リスト!$AE$3:$AE$5,0),
    ROUNDUP(
      DH25*IF(DH25*$I25&lt;=$L25,$J25,$I25)*
      IF($P25=1,
         $S25/12,
         IF(DH$4=1,
            $T25/12,
            IF(DH$4=$P25,
               $U25/12,
               1
      ))),0),
    ROUNDDOWN(
      DH25*IF(DH25*$I25&lt;=$L25,$J25,$I25)*
      IF($P25=1,
         $S25/12,
         IF(DH$4=1,
            $T25/12,
            IF(DH$4=$P25,
               $U25/12,
               1
      ))),0),
    ROUND(
      DH25*IF(DH25*$I25&lt;=$L25,$J25,$I25)*
      IF($P25=1,
         $S25/12,
         IF(DH$4=1,
            $T25/12,
            IF(DH$4=$P25,
               $U25/12,
               1
      ))),0)
))))</f>
        <v>-</v>
      </c>
      <c r="DJ25" s="56" t="str">
        <f ca="1">IF($H25=リスト!$AA$4,"-",
   IF($C25="-","-",
     IF(DJ$4&gt;$P25,"-",
       IF(DJ$4=1,$E25,OFFSET(DJ25,0,-2)-OFFSET(DJ25,0,-1)
))))</f>
        <v>-</v>
      </c>
      <c r="DK25" s="57" t="str">
        <f>IF($H25=リスト!$AA$4,"-",
 IF($C25="-","-",
  IF(DJ$4&gt;$P25,"-",
   CHOOSE(MATCH($H$3,リスト!$AE$3:$AE$5,0),
    ROUNDUP(
      DJ25*IF(DJ25*$I25&lt;=$L25,$J25,$I25)*
      IF($P25=1,
         $S25/12,
         IF(DJ$4=1,
            $T25/12,
            IF(DJ$4=$P25,
               $U25/12,
               1
      ))),0),
    ROUNDDOWN(
      DJ25*IF(DJ25*$I25&lt;=$L25,$J25,$I25)*
      IF($P25=1,
         $S25/12,
         IF(DJ$4=1,
            $T25/12,
            IF(DJ$4=$P25,
               $U25/12,
               1
      ))),0),
    ROUND(
      DJ25*IF(DJ25*$I25&lt;=$L25,$J25,$I25)*
      IF($P25=1,
         $S25/12,
         IF(DJ$4=1,
            $T25/12,
            IF(DJ$4=$P25,
               $U25/12,
               1
      ))),0)
))))</f>
        <v>-</v>
      </c>
      <c r="DL25" s="56" t="str">
        <f ca="1">IF($H25=リスト!$AA$4,"-",
   IF($C25="-","-",
     IF(DL$4&gt;$P25,"-",
       IF(DL$4=1,$E25,OFFSET(DL25,0,-2)-OFFSET(DL25,0,-1)
))))</f>
        <v>-</v>
      </c>
      <c r="DM25" s="57" t="str">
        <f>IF($H25=リスト!$AA$4,"-",
 IF($C25="-","-",
  IF(DL$4&gt;$P25,"-",
   CHOOSE(MATCH($H$3,リスト!$AE$3:$AE$5,0),
    ROUNDUP(
      DL25*IF(DL25*$I25&lt;=$L25,$J25,$I25)*
      IF($P25=1,
         $S25/12,
         IF(DL$4=1,
            $T25/12,
            IF(DL$4=$P25,
               $U25/12,
               1
      ))),0),
    ROUNDDOWN(
      DL25*IF(DL25*$I25&lt;=$L25,$J25,$I25)*
      IF($P25=1,
         $S25/12,
         IF(DL$4=1,
            $T25/12,
            IF(DL$4=$P25,
               $U25/12,
               1
      ))),0),
    ROUND(
      DL25*IF(DL25*$I25&lt;=$L25,$J25,$I25)*
      IF($P25=1,
         $S25/12,
         IF(DL$4=1,
            $T25/12,
            IF(DL$4=$P25,
               $U25/12,
               1
      ))),0)
))))</f>
        <v>-</v>
      </c>
      <c r="DN25" s="56" t="str">
        <f ca="1">IF($H25=リスト!$AA$4,"-",
   IF($C25="-","-",
     IF(DN$4&gt;$P25,"-",
       IF(DN$4=1,$E25,OFFSET(DN25,0,-2)-OFFSET(DN25,0,-1)
))))</f>
        <v>-</v>
      </c>
      <c r="DO25" s="57" t="str">
        <f>IF($H25=リスト!$AA$4,"-",
 IF($C25="-","-",
  IF(DN$4&gt;$P25,"-",
   CHOOSE(MATCH($H$3,リスト!$AE$3:$AE$5,0),
    ROUNDUP(
      DN25*IF(DN25*$I25&lt;=$L25,$J25,$I25)*
      IF($P25=1,
         $S25/12,
         IF(DN$4=1,
            $T25/12,
            IF(DN$4=$P25,
               $U25/12,
               1
      ))),0),
    ROUNDDOWN(
      DN25*IF(DN25*$I25&lt;=$L25,$J25,$I25)*
      IF($P25=1,
         $S25/12,
         IF(DN$4=1,
            $T25/12,
            IF(DN$4=$P25,
               $U25/12,
               1
      ))),0),
    ROUND(
      DN25*IF(DN25*$I25&lt;=$L25,$J25,$I25)*
      IF($P25=1,
         $S25/12,
         IF(DN$4=1,
            $T25/12,
            IF(DN$4=$P25,
               $U25/12,
               1
      ))),0)
))))</f>
        <v>-</v>
      </c>
      <c r="DP25" s="56" t="str">
        <f ca="1">IF($H25=リスト!$AA$4,"-",
   IF($C25="-","-",
     IF(DP$4&gt;$P25,"-",
       IF(DP$4=1,$E25,OFFSET(DP25,0,-2)-OFFSET(DP25,0,-1)
))))</f>
        <v>-</v>
      </c>
      <c r="DQ25" s="57" t="str">
        <f>IF($H25=リスト!$AA$4,"-",
 IF($C25="-","-",
  IF(DP$4&gt;$P25,"-",
   CHOOSE(MATCH($H$3,リスト!$AE$3:$AE$5,0),
    ROUNDUP(
      DP25*IF(DP25*$I25&lt;=$L25,$J25,$I25)*
      IF($P25=1,
         $S25/12,
         IF(DP$4=1,
            $T25/12,
            IF(DP$4=$P25,
               $U25/12,
               1
      ))),0),
    ROUNDDOWN(
      DP25*IF(DP25*$I25&lt;=$L25,$J25,$I25)*
      IF($P25=1,
         $S25/12,
         IF(DP$4=1,
            $T25/12,
            IF(DP$4=$P25,
               $U25/12,
               1
      ))),0),
    ROUND(
      DP25*IF(DP25*$I25&lt;=$L25,$J25,$I25)*
      IF($P25=1,
         $S25/12,
         IF(DP$4=1,
            $T25/12,
            IF(DP$4=$P25,
               $U25/12,
               1
      ))),0)
))))</f>
        <v>-</v>
      </c>
      <c r="DR25" s="56" t="str">
        <f ca="1">IF($H25=リスト!$AA$4,"-",
   IF($C25="-","-",
     IF(DR$4&gt;$P25,"-",
       IF(DR$4=1,$E25,OFFSET(DR25,0,-2)-OFFSET(DR25,0,-1)
))))</f>
        <v>-</v>
      </c>
      <c r="DS25" s="57" t="str">
        <f>IF($H25=リスト!$AA$4,"-",
 IF($C25="-","-",
  IF(DR$4&gt;$P25,"-",
   CHOOSE(MATCH($H$3,リスト!$AE$3:$AE$5,0),
    ROUNDUP(
      DR25*IF(DR25*$I25&lt;=$L25,$J25,$I25)*
      IF($P25=1,
         ($G25-$F25+1)/$Q25,
         IF(DR$4=1,
            ($M25-$F25+1)/$Q25,
            IF(DR$4=$P25,
               ($G25-$O25+1)/$R25,
               1
      ))),0),
    ROUNDDOWN(
      DR25*IF(DR25*$I25&lt;=$L25,$J25,$I25)*
      IF($P25=1,
         ($G25-$F25+1)/$Q25,
         IF(DR$4=1,
            ($M25-$F25+1)/$Q25,
            IF(DR$4=$P25,
               ($G25-$O25+1)/$R25,
               1
      ))),0),
    ROUND(
      DR25*IF(DR25*$I25&lt;=$L25,$J25,$I25)*
      IF($P25=1,
         ($G25-$F25+1)/$Q25,
         IF(DR$4=1,
            ($M25-$F25+1)/$Q25,
            IF(DR$4=$P25,
               ($G25-$O25+1)/$R25,
               1
      ))),0)
))))</f>
        <v>-</v>
      </c>
      <c r="DT25" s="56" t="str" cm="1">
        <f t="array" ref="DT25">IF($H25&lt;&gt;リスト!$AA$3,"-",$E25-SUMPRODUCT(IFERROR($Y25:$DS25*1,0), --(MOD(COLUMN($Y25:$DS25)-COLUMN($Y25),2)=0)))</f>
        <v>-</v>
      </c>
      <c r="DU25" s="56" t="str">
        <f>IF($H25&lt;&gt;リスト!$AA$4,"-",
    IF($H$3=リスト!$AE$3,$E25-ROUNDUP($E25*I25*$W25/12,0),
    IF($H$3=リスト!$AE$4,$E25-ROUNDDOWN($E25*I25*$W25/12,0),
    IF($H$3=リスト!$AE$5,$E25-ROUND($E25*I25*$W25/12,0),
    "-"))))</f>
        <v>-</v>
      </c>
    </row>
    <row r="29" spans="2:125">
      <c r="AN29" s="98"/>
    </row>
    <row r="31" spans="2:125" ht="17.45">
      <c r="J31" s="103" t="s">
        <v>204</v>
      </c>
    </row>
    <row r="32" spans="2:125">
      <c r="O32" s="110"/>
      <c r="P32" s="110"/>
      <c r="Q32" s="110"/>
      <c r="R32" s="110"/>
      <c r="S32" s="110"/>
    </row>
    <row r="33" spans="15:18">
      <c r="O33" s="110"/>
      <c r="P33" s="110"/>
      <c r="Q33" s="110"/>
      <c r="R33" s="110"/>
    </row>
  </sheetData>
  <phoneticPr fontId="2"/>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604DB-4460-49AB-A26F-29E5AF679FF2}">
  <sheetPr>
    <tabColor theme="1" tint="0.249977111117893"/>
  </sheetPr>
  <dimension ref="A1:AK368"/>
  <sheetViews>
    <sheetView showGridLines="0" zoomScale="70" zoomScaleNormal="70" workbookViewId="0">
      <selection activeCell="M9" sqref="M9"/>
    </sheetView>
  </sheetViews>
  <sheetFormatPr defaultColWidth="9.109375" defaultRowHeight="15"/>
  <cols>
    <col min="1" max="1" width="27.44140625" style="1" customWidth="1"/>
    <col min="2" max="2" width="3.88671875" style="1" customWidth="1"/>
    <col min="3" max="3" width="22.88671875" style="1" bestFit="1" customWidth="1"/>
    <col min="4" max="4" width="27.44140625" style="1" customWidth="1"/>
    <col min="5" max="5" width="3.88671875" style="1" customWidth="1"/>
    <col min="6" max="6" width="27.44140625" style="1" customWidth="1"/>
    <col min="7" max="7" width="57.5546875" style="1" customWidth="1"/>
    <col min="8" max="8" width="3.88671875" style="1" customWidth="1"/>
    <col min="9" max="9" width="27.44140625" style="1" customWidth="1"/>
    <col min="10" max="10" width="57.5546875" style="1" customWidth="1"/>
    <col min="11" max="11" width="19.88671875" style="1" bestFit="1" customWidth="1"/>
    <col min="12" max="12" width="64.33203125" style="1" customWidth="1"/>
    <col min="13" max="13" width="3.88671875" style="1" customWidth="1"/>
    <col min="14" max="14" width="22.88671875" style="1" bestFit="1" customWidth="1"/>
    <col min="15" max="15" width="27.44140625" style="1" customWidth="1"/>
    <col min="16" max="16" width="57.5546875" style="1" customWidth="1"/>
    <col min="17" max="17" width="64.33203125" style="1" customWidth="1"/>
    <col min="18" max="18" width="15.21875" style="1" bestFit="1" customWidth="1"/>
    <col min="19" max="19" width="8.21875" style="1" bestFit="1" customWidth="1"/>
    <col min="20" max="20" width="3.88671875" style="1" customWidth="1"/>
    <col min="21" max="21" width="26.109375" style="1" customWidth="1"/>
    <col min="22" max="22" width="14.44140625" style="1" customWidth="1"/>
    <col min="23" max="23" width="3.88671875" style="1" customWidth="1"/>
    <col min="24" max="24" width="35.33203125" style="1" customWidth="1"/>
    <col min="25" max="25" width="13.44140625" style="1" customWidth="1"/>
    <col min="26" max="26" width="3.88671875" style="1" customWidth="1"/>
    <col min="27" max="27" width="9.109375" style="1"/>
    <col min="28" max="29" width="6.6640625" style="1" bestFit="1" customWidth="1"/>
    <col min="30" max="30" width="3.77734375" style="1" bestFit="1" customWidth="1"/>
    <col min="31" max="31" width="9.109375" style="1"/>
    <col min="32" max="32" width="3.88671875" style="1" customWidth="1"/>
    <col min="33" max="33" width="9.44140625" style="1" customWidth="1"/>
    <col min="34" max="35" width="7.5546875" style="1" customWidth="1"/>
    <col min="36" max="36" width="11.44140625" style="1" customWidth="1"/>
    <col min="37" max="37" width="9.77734375" style="1" customWidth="1"/>
    <col min="38" max="16384" width="9.109375" style="1"/>
  </cols>
  <sheetData>
    <row r="1" spans="1:37">
      <c r="N1" s="1" t="s">
        <v>205</v>
      </c>
      <c r="AG1" s="1" t="s">
        <v>206</v>
      </c>
    </row>
    <row r="2" spans="1:37" ht="15.6" thickBot="1">
      <c r="A2" s="6" t="s">
        <v>107</v>
      </c>
      <c r="C2" s="10" t="s">
        <v>107</v>
      </c>
      <c r="D2" s="99" t="s">
        <v>114</v>
      </c>
      <c r="E2" s="100"/>
      <c r="F2" s="10" t="s">
        <v>114</v>
      </c>
      <c r="G2" s="99" t="s">
        <v>115</v>
      </c>
      <c r="H2" s="100"/>
      <c r="I2" s="10" t="s">
        <v>114</v>
      </c>
      <c r="J2" s="10" t="s">
        <v>115</v>
      </c>
      <c r="K2" s="10" t="s">
        <v>207</v>
      </c>
      <c r="L2" s="99" t="s">
        <v>116</v>
      </c>
      <c r="M2" s="9"/>
      <c r="N2" s="10" t="s">
        <v>107</v>
      </c>
      <c r="O2" s="10" t="s">
        <v>114</v>
      </c>
      <c r="P2" s="10" t="s">
        <v>115</v>
      </c>
      <c r="Q2" s="10" t="s">
        <v>116</v>
      </c>
      <c r="R2" s="10" t="s">
        <v>208</v>
      </c>
      <c r="S2" s="99" t="s">
        <v>209</v>
      </c>
      <c r="T2" s="100"/>
      <c r="U2" s="10" t="s">
        <v>107</v>
      </c>
      <c r="V2" s="6" t="s">
        <v>210</v>
      </c>
      <c r="X2" s="6" t="s">
        <v>138</v>
      </c>
      <c r="Y2" s="6" t="s">
        <v>211</v>
      </c>
      <c r="AA2" s="6" t="s">
        <v>166</v>
      </c>
      <c r="AB2" s="6" t="s">
        <v>212</v>
      </c>
      <c r="AC2" s="6" t="s">
        <v>172</v>
      </c>
      <c r="AD2" s="6"/>
      <c r="AE2" s="6" t="s">
        <v>156</v>
      </c>
      <c r="AG2" s="6" t="s">
        <v>162</v>
      </c>
      <c r="AH2" s="6" t="s">
        <v>179</v>
      </c>
      <c r="AI2" s="6" t="s">
        <v>180</v>
      </c>
      <c r="AJ2" s="6" t="s">
        <v>213</v>
      </c>
      <c r="AK2" s="6" t="s">
        <v>214</v>
      </c>
    </row>
    <row r="3" spans="1:37" ht="15.6" thickTop="1">
      <c r="A3" s="1" t="s">
        <v>215</v>
      </c>
      <c r="C3" s="100" t="s">
        <v>215</v>
      </c>
      <c r="D3" s="100" t="str" cm="1">
        <f t="array" ref="D3:D5">_xlfn.UNIQUE(O3:O94)</f>
        <v>建物</v>
      </c>
      <c r="E3" s="100" t="s">
        <v>216</v>
      </c>
      <c r="F3" s="100" t="s">
        <v>217</v>
      </c>
      <c r="G3" s="100" t="str" cm="1">
        <f t="array" ref="G3:G10">_xlfn.UNIQUE(P3:P77)</f>
        <v>鉄骨鉄筋コンクリート造又は鉄筋コンクリート造のもの</v>
      </c>
      <c r="H3" s="100"/>
      <c r="I3" s="100" t="s">
        <v>217</v>
      </c>
      <c r="J3" s="100" t="s">
        <v>218</v>
      </c>
      <c r="K3" s="9" t="str">
        <f>I3&amp;"_"&amp;J3</f>
        <v>建物_鉄骨鉄筋コンクリート造又は鉄筋コンクリート造のもの</v>
      </c>
      <c r="L3" s="100" t="s">
        <v>219</v>
      </c>
      <c r="M3" s="100" t="s">
        <v>216</v>
      </c>
      <c r="N3" s="100" t="s">
        <v>220</v>
      </c>
      <c r="O3" s="100" t="s">
        <v>217</v>
      </c>
      <c r="P3" s="100" t="s">
        <v>218</v>
      </c>
      <c r="Q3" s="100" t="s">
        <v>219</v>
      </c>
      <c r="R3" s="9" t="str">
        <f>O3&amp;"_"&amp;P3&amp;"_"&amp;Q3</f>
        <v>建物_鉄骨鉄筋コンクリート造又は鉄筋コンクリート造のもの_事務所用又は美術館用のもの及び左記以外のもの</v>
      </c>
      <c r="S3" s="100">
        <v>50</v>
      </c>
      <c r="U3" s="1" t="s">
        <v>221</v>
      </c>
      <c r="V3" s="1" t="s">
        <v>222</v>
      </c>
      <c r="X3" s="1" t="s">
        <v>223</v>
      </c>
      <c r="Y3" s="1" t="s">
        <v>224</v>
      </c>
      <c r="AA3" s="1" t="s">
        <v>179</v>
      </c>
      <c r="AB3" s="1">
        <v>1</v>
      </c>
      <c r="AC3" s="1">
        <v>1</v>
      </c>
      <c r="AD3" s="122" t="s">
        <v>161</v>
      </c>
      <c r="AE3" s="1" t="s">
        <v>225</v>
      </c>
      <c r="AG3" s="1">
        <v>2</v>
      </c>
      <c r="AH3" s="1">
        <v>1</v>
      </c>
      <c r="AI3" s="1">
        <v>0.5</v>
      </c>
    </row>
    <row r="4" spans="1:37">
      <c r="A4" s="1" t="s">
        <v>221</v>
      </c>
      <c r="C4" s="9" t="s">
        <v>220</v>
      </c>
      <c r="D4" s="100" t="str">
        <v>建物附属設備</v>
      </c>
      <c r="E4" s="100" t="s">
        <v>216</v>
      </c>
      <c r="F4" s="9" t="s">
        <v>217</v>
      </c>
      <c r="G4" s="100" t="str">
        <v>れんが造、石造又はブロック造のもの</v>
      </c>
      <c r="H4" s="100"/>
      <c r="I4" s="9" t="s">
        <v>217</v>
      </c>
      <c r="J4" s="9" t="s">
        <v>218</v>
      </c>
      <c r="K4" s="9" t="str">
        <f t="shared" ref="K4:K67" si="0">I4&amp;"_"&amp;J4</f>
        <v>建物_鉄骨鉄筋コンクリート造又は鉄筋コンクリート造のもの</v>
      </c>
      <c r="L4" s="100" t="s">
        <v>226</v>
      </c>
      <c r="M4" s="100" t="s">
        <v>216</v>
      </c>
      <c r="N4" s="100" t="s">
        <v>220</v>
      </c>
      <c r="O4" s="100" t="s">
        <v>217</v>
      </c>
      <c r="P4" s="100" t="s">
        <v>218</v>
      </c>
      <c r="Q4" s="100" t="s">
        <v>226</v>
      </c>
      <c r="R4" s="9" t="str">
        <f t="shared" ref="R4:R67" si="1">O4&amp;"_"&amp;P4&amp;"_"&amp;Q4</f>
        <v>建物_鉄骨鉄筋コンクリート造又は鉄筋コンクリート造のもの_住宅用、寄宿舎用、宿泊所用、学校用又は体育館用のもの</v>
      </c>
      <c r="S4" s="100">
        <v>47</v>
      </c>
      <c r="U4" s="9" t="s">
        <v>227</v>
      </c>
      <c r="V4" s="1" t="s">
        <v>228</v>
      </c>
      <c r="X4" s="1" t="s">
        <v>229</v>
      </c>
      <c r="Y4" s="1" t="s">
        <v>230</v>
      </c>
      <c r="AA4" s="1" t="s">
        <v>180</v>
      </c>
      <c r="AB4" s="1">
        <v>2</v>
      </c>
      <c r="AC4" s="9">
        <v>1</v>
      </c>
      <c r="AD4" s="1">
        <v>1</v>
      </c>
      <c r="AE4" s="1" t="s">
        <v>231</v>
      </c>
      <c r="AG4" s="1">
        <v>3</v>
      </c>
      <c r="AH4" s="1">
        <v>0.66700000000000004</v>
      </c>
      <c r="AI4" s="1">
        <v>0.33400000000000002</v>
      </c>
      <c r="AJ4" s="1">
        <v>1</v>
      </c>
      <c r="AK4" s="1">
        <v>0.11089</v>
      </c>
    </row>
    <row r="5" spans="1:37">
      <c r="A5" s="1" t="s">
        <v>232</v>
      </c>
      <c r="C5" s="9" t="s">
        <v>220</v>
      </c>
      <c r="D5" s="100" t="str">
        <v>別表第六　建物及び建物附属設備／開発研究用減価償却資産</v>
      </c>
      <c r="E5" s="100" t="s">
        <v>216</v>
      </c>
      <c r="F5" s="9" t="s">
        <v>217</v>
      </c>
      <c r="G5" s="100" t="str">
        <v>金属造のもの（骨格材の肉厚が四ミリメートルを超えるものに限る。）</v>
      </c>
      <c r="H5" s="100"/>
      <c r="I5" s="9" t="s">
        <v>217</v>
      </c>
      <c r="J5" s="9" t="s">
        <v>218</v>
      </c>
      <c r="K5" s="9" t="str">
        <f t="shared" si="0"/>
        <v>建物_鉄骨鉄筋コンクリート造又は鉄筋コンクリート造のもの</v>
      </c>
      <c r="L5" s="100" t="s">
        <v>233</v>
      </c>
      <c r="M5" s="100" t="s">
        <v>216</v>
      </c>
      <c r="N5" s="100" t="s">
        <v>220</v>
      </c>
      <c r="O5" s="100" t="s">
        <v>217</v>
      </c>
      <c r="P5" s="100" t="s">
        <v>218</v>
      </c>
      <c r="Q5" s="100" t="s">
        <v>233</v>
      </c>
      <c r="R5" s="9" t="str">
        <f t="shared" si="1"/>
        <v>建物_鉄骨鉄筋コンクリート造又は鉄筋コンクリート造のもの_飲食店用、貸席用、劇場用、演奏場用、映画館用又は舞踏場用のもの　飲食店用又は貸席用のもので、延べ面積のうちに占める木造内装部分の面積が三割を超えるもの</v>
      </c>
      <c r="S5" s="100">
        <v>34</v>
      </c>
      <c r="U5" s="9" t="s">
        <v>227</v>
      </c>
      <c r="V5" s="1" t="s">
        <v>234</v>
      </c>
      <c r="X5" s="1" t="s">
        <v>235</v>
      </c>
      <c r="AB5" s="1">
        <v>3</v>
      </c>
      <c r="AC5" s="9">
        <v>1</v>
      </c>
      <c r="AD5" s="1">
        <v>2</v>
      </c>
      <c r="AE5" s="1" t="s">
        <v>236</v>
      </c>
      <c r="AG5" s="1">
        <v>4</v>
      </c>
      <c r="AH5" s="1">
        <v>0.5</v>
      </c>
      <c r="AI5" s="1">
        <v>0.25</v>
      </c>
      <c r="AJ5" s="1">
        <v>1</v>
      </c>
      <c r="AK5" s="1">
        <v>0.12499</v>
      </c>
    </row>
    <row r="6" spans="1:37">
      <c r="A6" s="1" t="s">
        <v>237</v>
      </c>
      <c r="C6" s="100" t="s">
        <v>221</v>
      </c>
      <c r="D6" s="100" t="str" cm="1">
        <f t="array" ref="D6:D66">_xlfn.UNIQUE(O95:O314)</f>
        <v>工具</v>
      </c>
      <c r="E6" s="100" t="s">
        <v>216</v>
      </c>
      <c r="F6" s="9" t="s">
        <v>217</v>
      </c>
      <c r="G6" s="100" t="str">
        <v>金属造のもの（骨格材の肉厚が三ミリメートルを超え四ミリメートル以下のものに限る。）</v>
      </c>
      <c r="H6" s="100"/>
      <c r="I6" s="9" t="s">
        <v>217</v>
      </c>
      <c r="J6" s="9" t="s">
        <v>218</v>
      </c>
      <c r="K6" s="9" t="str">
        <f t="shared" si="0"/>
        <v>建物_鉄骨鉄筋コンクリート造又は鉄筋コンクリート造のもの</v>
      </c>
      <c r="L6" s="100" t="s">
        <v>238</v>
      </c>
      <c r="M6" s="100" t="s">
        <v>216</v>
      </c>
      <c r="N6" s="100" t="s">
        <v>220</v>
      </c>
      <c r="O6" s="100" t="s">
        <v>217</v>
      </c>
      <c r="P6" s="100" t="s">
        <v>218</v>
      </c>
      <c r="Q6" s="100" t="s">
        <v>238</v>
      </c>
      <c r="R6" s="9" t="str">
        <f t="shared" si="1"/>
        <v>建物_鉄骨鉄筋コンクリート造又は鉄筋コンクリート造のもの_飲食店用、貸席用、劇場用、演奏場用、映画館用又は舞踏場用のもの　その他のもの</v>
      </c>
      <c r="S6" s="100">
        <v>41</v>
      </c>
      <c r="U6" s="9" t="s">
        <v>227</v>
      </c>
      <c r="V6" s="1" t="s">
        <v>239</v>
      </c>
      <c r="X6" s="1" t="s">
        <v>240</v>
      </c>
      <c r="AB6" s="1">
        <v>4</v>
      </c>
      <c r="AC6" s="9">
        <v>1</v>
      </c>
      <c r="AD6" s="1">
        <v>3</v>
      </c>
      <c r="AG6" s="1">
        <v>5</v>
      </c>
      <c r="AH6" s="1">
        <v>0.4</v>
      </c>
      <c r="AI6" s="1">
        <v>0.2</v>
      </c>
      <c r="AJ6" s="1">
        <v>0.5</v>
      </c>
      <c r="AK6" s="1">
        <v>0.108</v>
      </c>
    </row>
    <row r="7" spans="1:37">
      <c r="C7" s="9" t="s">
        <v>221</v>
      </c>
      <c r="D7" s="100" t="str">
        <v>別表第六　工具／開発研究用減価償却資産</v>
      </c>
      <c r="E7" s="100" t="s">
        <v>216</v>
      </c>
      <c r="F7" s="9" t="s">
        <v>217</v>
      </c>
      <c r="G7" s="100" t="str">
        <v>金属造のもの（骨格材の肉厚が三ミリメートル以下のものに限る。）</v>
      </c>
      <c r="H7" s="100"/>
      <c r="I7" s="9" t="s">
        <v>217</v>
      </c>
      <c r="J7" s="9" t="s">
        <v>218</v>
      </c>
      <c r="K7" s="9" t="str">
        <f t="shared" si="0"/>
        <v>建物_鉄骨鉄筋コンクリート造又は鉄筋コンクリート造のもの</v>
      </c>
      <c r="L7" s="100" t="s">
        <v>241</v>
      </c>
      <c r="M7" s="100" t="s">
        <v>216</v>
      </c>
      <c r="N7" s="100" t="s">
        <v>220</v>
      </c>
      <c r="O7" s="100" t="s">
        <v>217</v>
      </c>
      <c r="P7" s="100" t="s">
        <v>218</v>
      </c>
      <c r="Q7" s="100" t="s">
        <v>241</v>
      </c>
      <c r="R7" s="9" t="str">
        <f t="shared" si="1"/>
        <v>建物_鉄骨鉄筋コンクリート造又は鉄筋コンクリート造のもの_旅館用又はホテル用のもの　延べ面積のうちに占める木造内装部分の面積が三割を超えるもの</v>
      </c>
      <c r="S7" s="100">
        <v>31</v>
      </c>
      <c r="U7" s="9" t="s">
        <v>227</v>
      </c>
      <c r="V7" s="1" t="s">
        <v>242</v>
      </c>
      <c r="X7" s="1" t="s">
        <v>243</v>
      </c>
      <c r="AB7" s="1">
        <v>5</v>
      </c>
      <c r="AC7" s="9">
        <v>1</v>
      </c>
      <c r="AD7" s="1">
        <v>4</v>
      </c>
      <c r="AG7" s="1">
        <v>6</v>
      </c>
      <c r="AH7" s="1">
        <v>0.33300000000000002</v>
      </c>
      <c r="AI7" s="1">
        <v>0.16700000000000001</v>
      </c>
      <c r="AJ7" s="1">
        <v>0.33400000000000002</v>
      </c>
      <c r="AK7" s="1">
        <v>9.9110000000000004E-2</v>
      </c>
    </row>
    <row r="8" spans="1:37">
      <c r="C8" s="9" t="s">
        <v>221</v>
      </c>
      <c r="D8" s="100" t="str">
        <v>器具及び備品</v>
      </c>
      <c r="E8" s="100" t="s">
        <v>216</v>
      </c>
      <c r="F8" s="9" t="s">
        <v>217</v>
      </c>
      <c r="G8" s="100" t="str">
        <v>木造又は合成樹脂造のもの</v>
      </c>
      <c r="H8" s="100"/>
      <c r="I8" s="9" t="s">
        <v>217</v>
      </c>
      <c r="J8" s="9" t="s">
        <v>218</v>
      </c>
      <c r="K8" s="9" t="str">
        <f t="shared" si="0"/>
        <v>建物_鉄骨鉄筋コンクリート造又は鉄筋コンクリート造のもの</v>
      </c>
      <c r="L8" s="100" t="s">
        <v>244</v>
      </c>
      <c r="M8" s="100" t="s">
        <v>216</v>
      </c>
      <c r="N8" s="100" t="s">
        <v>220</v>
      </c>
      <c r="O8" s="100" t="s">
        <v>217</v>
      </c>
      <c r="P8" s="100" t="s">
        <v>218</v>
      </c>
      <c r="Q8" s="100" t="s">
        <v>244</v>
      </c>
      <c r="R8" s="9" t="str">
        <f t="shared" si="1"/>
        <v>建物_鉄骨鉄筋コンクリート造又は鉄筋コンクリート造のもの_旅館用又はホテル用のもの　その他のもの</v>
      </c>
      <c r="S8" s="100">
        <v>39</v>
      </c>
      <c r="U8" s="9" t="s">
        <v>227</v>
      </c>
      <c r="V8" s="1" t="s">
        <v>245</v>
      </c>
      <c r="X8" s="1" t="s">
        <v>246</v>
      </c>
      <c r="AB8" s="1">
        <v>6</v>
      </c>
      <c r="AC8" s="9">
        <v>1</v>
      </c>
      <c r="AD8" s="1">
        <v>5</v>
      </c>
      <c r="AG8" s="1">
        <v>7</v>
      </c>
      <c r="AH8" s="1">
        <v>0.28599999999999998</v>
      </c>
      <c r="AI8" s="1">
        <v>0.14299999999999999</v>
      </c>
      <c r="AJ8" s="1">
        <v>0.33400000000000002</v>
      </c>
      <c r="AK8" s="1">
        <v>8.6800000000000002E-2</v>
      </c>
    </row>
    <row r="9" spans="1:37">
      <c r="C9" s="9" t="s">
        <v>221</v>
      </c>
      <c r="D9" s="100" t="str">
        <v>別表第六　器具及び備品／開発研究用減価償却資産</v>
      </c>
      <c r="E9" s="100" t="s">
        <v>216</v>
      </c>
      <c r="F9" s="9" t="s">
        <v>217</v>
      </c>
      <c r="G9" s="100" t="str">
        <v>木骨モルタル造のもの</v>
      </c>
      <c r="H9" s="100"/>
      <c r="I9" s="9" t="s">
        <v>217</v>
      </c>
      <c r="J9" s="9" t="s">
        <v>218</v>
      </c>
      <c r="K9" s="9" t="str">
        <f t="shared" si="0"/>
        <v>建物_鉄骨鉄筋コンクリート造又は鉄筋コンクリート造のもの</v>
      </c>
      <c r="L9" s="100" t="s">
        <v>247</v>
      </c>
      <c r="M9" s="100" t="s">
        <v>216</v>
      </c>
      <c r="N9" s="100" t="s">
        <v>220</v>
      </c>
      <c r="O9" s="100" t="s">
        <v>217</v>
      </c>
      <c r="P9" s="100" t="s">
        <v>218</v>
      </c>
      <c r="Q9" s="100" t="s">
        <v>247</v>
      </c>
      <c r="R9" s="9" t="str">
        <f t="shared" si="1"/>
        <v>建物_鉄骨鉄筋コンクリート造又は鉄筋コンクリート造のもの_店舗用のもの</v>
      </c>
      <c r="S9" s="100">
        <v>39</v>
      </c>
      <c r="U9" s="9" t="s">
        <v>227</v>
      </c>
      <c r="V9" s="1" t="s">
        <v>248</v>
      </c>
      <c r="X9" s="1" t="s">
        <v>249</v>
      </c>
      <c r="AB9" s="1">
        <v>7</v>
      </c>
      <c r="AC9" s="9">
        <v>1</v>
      </c>
      <c r="AD9" s="1">
        <v>6</v>
      </c>
      <c r="AG9" s="1">
        <v>8</v>
      </c>
      <c r="AH9" s="1">
        <v>0.25</v>
      </c>
      <c r="AI9" s="1">
        <v>0.125</v>
      </c>
      <c r="AJ9" s="1">
        <v>0.33400000000000002</v>
      </c>
      <c r="AK9" s="1">
        <v>7.9089999999999994E-2</v>
      </c>
    </row>
    <row r="10" spans="1:37">
      <c r="C10" s="9" t="s">
        <v>221</v>
      </c>
      <c r="D10" s="100" t="str">
        <v>1 食料品製造業用設備</v>
      </c>
      <c r="E10" s="100" t="s">
        <v>216</v>
      </c>
      <c r="F10" s="9" t="s">
        <v>217</v>
      </c>
      <c r="G10" s="100" t="str">
        <v>簡易建物</v>
      </c>
      <c r="H10" s="100"/>
      <c r="I10" s="9" t="s">
        <v>217</v>
      </c>
      <c r="J10" s="9" t="s">
        <v>218</v>
      </c>
      <c r="K10" s="9" t="str">
        <f t="shared" si="0"/>
        <v>建物_鉄骨鉄筋コンクリート造又は鉄筋コンクリート造のもの</v>
      </c>
      <c r="L10" s="100" t="s">
        <v>250</v>
      </c>
      <c r="M10" s="100" t="s">
        <v>216</v>
      </c>
      <c r="N10" s="100" t="s">
        <v>220</v>
      </c>
      <c r="O10" s="100" t="s">
        <v>217</v>
      </c>
      <c r="P10" s="100" t="s">
        <v>218</v>
      </c>
      <c r="Q10" s="100" t="s">
        <v>250</v>
      </c>
      <c r="R10" s="9" t="str">
        <f t="shared" si="1"/>
        <v>建物_鉄骨鉄筋コンクリート造又は鉄筋コンクリート造のもの_病院用のもの</v>
      </c>
      <c r="S10" s="100">
        <v>39</v>
      </c>
      <c r="U10" s="9" t="s">
        <v>227</v>
      </c>
      <c r="V10" s="1" t="s">
        <v>251</v>
      </c>
      <c r="X10" s="1" t="s">
        <v>252</v>
      </c>
      <c r="AB10" s="1">
        <v>8</v>
      </c>
      <c r="AC10" s="9">
        <v>1</v>
      </c>
      <c r="AD10" s="1">
        <v>7</v>
      </c>
      <c r="AG10" s="1">
        <v>9</v>
      </c>
      <c r="AH10" s="1">
        <v>0.222</v>
      </c>
      <c r="AI10" s="1">
        <v>0.112</v>
      </c>
      <c r="AJ10" s="1">
        <v>0.25</v>
      </c>
      <c r="AK10" s="1">
        <v>7.1260000000000004E-2</v>
      </c>
    </row>
    <row r="11" spans="1:37">
      <c r="C11" s="9" t="s">
        <v>221</v>
      </c>
      <c r="D11" s="100" t="str">
        <v>2 飲料、たばこ又は飼料製造業用設備</v>
      </c>
      <c r="E11" s="100" t="s">
        <v>216</v>
      </c>
      <c r="F11" s="100" t="s">
        <v>253</v>
      </c>
      <c r="G11" s="100" t="str" cm="1">
        <f t="array" ref="G11:G20">_xlfn.UNIQUE(P78:P93)</f>
        <v>電気設備（照明設備を含む。）</v>
      </c>
      <c r="H11" s="100"/>
      <c r="I11" s="9" t="s">
        <v>217</v>
      </c>
      <c r="J11" s="9" t="s">
        <v>218</v>
      </c>
      <c r="K11" s="9" t="str">
        <f t="shared" si="0"/>
        <v>建物_鉄骨鉄筋コンクリート造又は鉄筋コンクリート造のもの</v>
      </c>
      <c r="L11" s="100" t="s">
        <v>254</v>
      </c>
      <c r="M11" s="100" t="s">
        <v>216</v>
      </c>
      <c r="N11" s="100" t="s">
        <v>220</v>
      </c>
      <c r="O11" s="100" t="s">
        <v>217</v>
      </c>
      <c r="P11" s="100" t="s">
        <v>218</v>
      </c>
      <c r="Q11" s="100" t="s">
        <v>254</v>
      </c>
      <c r="R11" s="9" t="str">
        <f t="shared" si="1"/>
        <v>建物_鉄骨鉄筋コンクリート造又は鉄筋コンクリート造のもの_変電所用、発電所用、送受信所用、停車場用、車庫用、格納庫用、荷扱所用、映画製作ステージ用、屋内スケート場用、魚市場用又はと畜場用のもの</v>
      </c>
      <c r="S11" s="100">
        <v>38</v>
      </c>
      <c r="U11" s="9" t="s">
        <v>227</v>
      </c>
      <c r="V11" s="1" t="s">
        <v>255</v>
      </c>
      <c r="X11" s="1" t="s">
        <v>256</v>
      </c>
      <c r="AB11" s="1">
        <v>9</v>
      </c>
      <c r="AC11" s="9">
        <v>1</v>
      </c>
      <c r="AD11" s="1">
        <v>8</v>
      </c>
      <c r="AG11" s="1">
        <v>10</v>
      </c>
      <c r="AH11" s="1">
        <v>0.2</v>
      </c>
      <c r="AI11" s="1">
        <v>0.1</v>
      </c>
      <c r="AJ11" s="1">
        <v>0.25</v>
      </c>
      <c r="AK11" s="1">
        <v>6.5519999999999995E-2</v>
      </c>
    </row>
    <row r="12" spans="1:37">
      <c r="C12" s="9" t="s">
        <v>221</v>
      </c>
      <c r="D12" s="100" t="str">
        <v>3 繊維工業用設備</v>
      </c>
      <c r="E12" s="100" t="s">
        <v>216</v>
      </c>
      <c r="F12" s="9" t="s">
        <v>257</v>
      </c>
      <c r="G12" s="100" t="str">
        <v>給排水又は衛生設備及びガス設備</v>
      </c>
      <c r="H12" s="100"/>
      <c r="I12" s="9" t="s">
        <v>217</v>
      </c>
      <c r="J12" s="9" t="s">
        <v>218</v>
      </c>
      <c r="K12" s="9" t="str">
        <f t="shared" si="0"/>
        <v>建物_鉄骨鉄筋コンクリート造又は鉄筋コンクリート造のもの</v>
      </c>
      <c r="L12" s="100" t="s">
        <v>258</v>
      </c>
      <c r="M12" s="100" t="s">
        <v>216</v>
      </c>
      <c r="N12" s="100" t="s">
        <v>220</v>
      </c>
      <c r="O12" s="100" t="s">
        <v>217</v>
      </c>
      <c r="P12" s="100" t="s">
        <v>218</v>
      </c>
      <c r="Q12" s="100" t="s">
        <v>258</v>
      </c>
      <c r="R12" s="9" t="str">
        <f t="shared" si="1"/>
        <v>建物_鉄骨鉄筋コンクリート造又は鉄筋コンクリート造のもの_公衆浴場用のもの</v>
      </c>
      <c r="S12" s="100">
        <v>31</v>
      </c>
      <c r="U12" s="9" t="s">
        <v>227</v>
      </c>
      <c r="V12" s="1" t="s">
        <v>259</v>
      </c>
      <c r="AB12" s="1">
        <v>10</v>
      </c>
      <c r="AC12" s="9">
        <v>1</v>
      </c>
      <c r="AD12" s="1">
        <v>9</v>
      </c>
      <c r="AG12" s="1">
        <v>11</v>
      </c>
      <c r="AH12" s="1">
        <v>0.182</v>
      </c>
      <c r="AI12" s="1">
        <v>9.0999999999999998E-2</v>
      </c>
      <c r="AJ12" s="1">
        <v>0.2</v>
      </c>
      <c r="AK12" s="1">
        <v>5.9920000000000001E-2</v>
      </c>
    </row>
    <row r="13" spans="1:37">
      <c r="C13" s="9" t="s">
        <v>221</v>
      </c>
      <c r="D13" s="100" t="str">
        <v>4 木材又は木製品（家具を除く。）製造業用設備</v>
      </c>
      <c r="E13" s="100" t="s">
        <v>216</v>
      </c>
      <c r="F13" s="9" t="s">
        <v>257</v>
      </c>
      <c r="G13" s="100" t="str">
        <v>冷房、暖房、通風又はボイラー設備</v>
      </c>
      <c r="H13" s="100"/>
      <c r="I13" s="9" t="s">
        <v>217</v>
      </c>
      <c r="J13" s="9" t="s">
        <v>218</v>
      </c>
      <c r="K13" s="9" t="str">
        <f t="shared" si="0"/>
        <v>建物_鉄骨鉄筋コンクリート造又は鉄筋コンクリート造のもの</v>
      </c>
      <c r="L13" s="100" t="s">
        <v>260</v>
      </c>
      <c r="M13" s="100" t="s">
        <v>216</v>
      </c>
      <c r="N13" s="100" t="s">
        <v>220</v>
      </c>
      <c r="O13" s="100" t="s">
        <v>217</v>
      </c>
      <c r="P13" s="100" t="s">
        <v>218</v>
      </c>
      <c r="Q13" s="100" t="s">
        <v>260</v>
      </c>
      <c r="R13" s="9" t="str">
        <f t="shared" si="1"/>
        <v>建物_鉄骨鉄筋コンクリート造又は鉄筋コンクリート造のもの_工場（作業場を含む。）用又は倉庫用のもの　塩素、塩酸、硫酸、硝酸その他の著しい腐食性を有する液体又は気体の影響を直接全面的に受けるもの、冷蔵倉庫用のもの（倉庫事業の倉庫用のものを除く。）及び放射性同位元素の放射線を直接受けるもの</v>
      </c>
      <c r="S13" s="100">
        <v>24</v>
      </c>
      <c r="U13" s="9" t="s">
        <v>227</v>
      </c>
      <c r="V13" s="1" t="s">
        <v>261</v>
      </c>
      <c r="AB13" s="1">
        <v>11</v>
      </c>
      <c r="AC13" s="9">
        <v>1</v>
      </c>
      <c r="AD13" s="1">
        <v>10</v>
      </c>
      <c r="AG13" s="1">
        <v>12</v>
      </c>
      <c r="AH13" s="1">
        <v>0.16700000000000001</v>
      </c>
      <c r="AI13" s="1">
        <v>8.4000000000000005E-2</v>
      </c>
      <c r="AJ13" s="1">
        <v>0.2</v>
      </c>
      <c r="AK13" s="1">
        <v>5.5660000000000001E-2</v>
      </c>
    </row>
    <row r="14" spans="1:37">
      <c r="C14" s="9" t="s">
        <v>221</v>
      </c>
      <c r="D14" s="100" t="str">
        <v>5 家具又は装備品製造業用設備</v>
      </c>
      <c r="E14" s="100" t="s">
        <v>216</v>
      </c>
      <c r="F14" s="9" t="s">
        <v>257</v>
      </c>
      <c r="G14" s="100" t="str">
        <v>昇降機設備</v>
      </c>
      <c r="H14" s="100"/>
      <c r="I14" s="9" t="s">
        <v>217</v>
      </c>
      <c r="J14" s="9" t="s">
        <v>218</v>
      </c>
      <c r="K14" s="9" t="str">
        <f t="shared" si="0"/>
        <v>建物_鉄骨鉄筋コンクリート造又は鉄筋コンクリート造のもの</v>
      </c>
      <c r="L14" s="100" t="s">
        <v>262</v>
      </c>
      <c r="M14" s="100" t="s">
        <v>216</v>
      </c>
      <c r="N14" s="100" t="s">
        <v>220</v>
      </c>
      <c r="O14" s="100" t="s">
        <v>217</v>
      </c>
      <c r="P14" s="100" t="s">
        <v>218</v>
      </c>
      <c r="Q14" s="100" t="s">
        <v>262</v>
      </c>
      <c r="R14" s="9" t="str">
        <f t="shared" si="1"/>
        <v>建物_鉄骨鉄筋コンクリート造又は鉄筋コンクリート造のもの_工場（作業場を含む。）用又は倉庫用のもの　塩、チリ硝石その他の著しい潮解性を有する固体を常時蔵置するためのもの及び著しい蒸気の影響を直接全面的に受けるもの</v>
      </c>
      <c r="S14" s="100">
        <v>31</v>
      </c>
      <c r="U14" s="9" t="s">
        <v>227</v>
      </c>
      <c r="V14" s="1" t="s">
        <v>263</v>
      </c>
      <c r="AB14" s="1">
        <v>12</v>
      </c>
      <c r="AC14" s="9">
        <v>1</v>
      </c>
      <c r="AD14" s="1">
        <v>11</v>
      </c>
      <c r="AG14" s="1">
        <v>13</v>
      </c>
      <c r="AH14" s="1">
        <v>0.154</v>
      </c>
      <c r="AI14" s="1">
        <v>7.6999999999999999E-2</v>
      </c>
      <c r="AJ14" s="1">
        <v>0.16700000000000001</v>
      </c>
      <c r="AK14" s="1">
        <v>5.1799999999999999E-2</v>
      </c>
    </row>
    <row r="15" spans="1:37">
      <c r="C15" s="9" t="s">
        <v>221</v>
      </c>
      <c r="D15" s="100" t="str">
        <v>6 パルプ、紙又は紙加工品製造業用設備</v>
      </c>
      <c r="E15" s="100" t="s">
        <v>216</v>
      </c>
      <c r="F15" s="9" t="s">
        <v>257</v>
      </c>
      <c r="G15" s="100" t="str">
        <v>消火、排煙又は災害報知設備及び格納式避難設備</v>
      </c>
      <c r="H15" s="100"/>
      <c r="I15" s="9" t="s">
        <v>217</v>
      </c>
      <c r="J15" s="9" t="s">
        <v>218</v>
      </c>
      <c r="K15" s="9" t="str">
        <f t="shared" si="0"/>
        <v>建物_鉄骨鉄筋コンクリート造又は鉄筋コンクリート造のもの</v>
      </c>
      <c r="L15" s="100" t="s">
        <v>264</v>
      </c>
      <c r="M15" s="100" t="s">
        <v>216</v>
      </c>
      <c r="N15" s="100" t="s">
        <v>220</v>
      </c>
      <c r="O15" s="100" t="s">
        <v>217</v>
      </c>
      <c r="P15" s="100" t="s">
        <v>218</v>
      </c>
      <c r="Q15" s="100" t="s">
        <v>264</v>
      </c>
      <c r="R15" s="9" t="str">
        <f t="shared" si="1"/>
        <v>建物_鉄骨鉄筋コンクリート造又は鉄筋コンクリート造のもの_工場（作業場を含む。）用又は倉庫用のもの　その他のもの　倉庫事業の倉庫用のもの　冷蔵倉庫用のもの</v>
      </c>
      <c r="S15" s="100">
        <v>21</v>
      </c>
      <c r="U15" s="9" t="s">
        <v>227</v>
      </c>
      <c r="V15" s="1" t="s">
        <v>265</v>
      </c>
      <c r="AC15" s="9">
        <v>1</v>
      </c>
      <c r="AD15" s="1">
        <v>12</v>
      </c>
      <c r="AG15" s="1">
        <v>14</v>
      </c>
      <c r="AH15" s="1">
        <v>0.14299999999999999</v>
      </c>
      <c r="AI15" s="1">
        <v>7.1999999999999995E-2</v>
      </c>
      <c r="AJ15" s="1">
        <v>0.16700000000000001</v>
      </c>
      <c r="AK15" s="1">
        <v>4.854E-2</v>
      </c>
    </row>
    <row r="16" spans="1:37">
      <c r="C16" s="9" t="s">
        <v>221</v>
      </c>
      <c r="D16" s="100" t="str">
        <v>7 印刷業又は印刷関連業用設備</v>
      </c>
      <c r="E16" s="100" t="s">
        <v>216</v>
      </c>
      <c r="F16" s="9" t="s">
        <v>257</v>
      </c>
      <c r="G16" s="100" t="str">
        <v>エヤーカーテン又はドアー自動開閉設備</v>
      </c>
      <c r="H16" s="100"/>
      <c r="I16" s="9" t="s">
        <v>217</v>
      </c>
      <c r="J16" s="9" t="s">
        <v>218</v>
      </c>
      <c r="K16" s="9" t="str">
        <f t="shared" si="0"/>
        <v>建物_鉄骨鉄筋コンクリート造又は鉄筋コンクリート造のもの</v>
      </c>
      <c r="L16" s="100" t="s">
        <v>266</v>
      </c>
      <c r="M16" s="100" t="s">
        <v>216</v>
      </c>
      <c r="N16" s="100" t="s">
        <v>220</v>
      </c>
      <c r="O16" s="100" t="s">
        <v>217</v>
      </c>
      <c r="P16" s="100" t="s">
        <v>218</v>
      </c>
      <c r="Q16" s="100" t="s">
        <v>266</v>
      </c>
      <c r="R16" s="9" t="str">
        <f t="shared" si="1"/>
        <v>建物_鉄骨鉄筋コンクリート造又は鉄筋コンクリート造のもの_工場（作業場を含む。）用又は倉庫用のもの　その他のもの　倉庫事業の倉庫用のもの　その他のもの</v>
      </c>
      <c r="S16" s="100">
        <v>31</v>
      </c>
      <c r="U16" s="9" t="s">
        <v>227</v>
      </c>
      <c r="V16" s="1" t="s">
        <v>267</v>
      </c>
      <c r="AC16" s="9">
        <v>1</v>
      </c>
      <c r="AD16" s="1">
        <v>13</v>
      </c>
      <c r="AG16" s="1">
        <v>15</v>
      </c>
      <c r="AH16" s="1">
        <v>0.13300000000000001</v>
      </c>
      <c r="AI16" s="1">
        <v>6.7000000000000004E-2</v>
      </c>
      <c r="AJ16" s="1">
        <v>0.14299999999999999</v>
      </c>
      <c r="AK16" s="1">
        <v>4.5650000000000003E-2</v>
      </c>
    </row>
    <row r="17" spans="3:37">
      <c r="C17" s="9" t="s">
        <v>221</v>
      </c>
      <c r="D17" s="100" t="str">
        <v>8 化学工業用設備</v>
      </c>
      <c r="E17" s="100" t="s">
        <v>216</v>
      </c>
      <c r="F17" s="9" t="s">
        <v>257</v>
      </c>
      <c r="G17" s="100" t="str">
        <v>アーケード又は日よけ設備</v>
      </c>
      <c r="H17" s="100"/>
      <c r="I17" s="9" t="s">
        <v>217</v>
      </c>
      <c r="J17" s="9" t="s">
        <v>218</v>
      </c>
      <c r="K17" s="9" t="str">
        <f t="shared" si="0"/>
        <v>建物_鉄骨鉄筋コンクリート造又は鉄筋コンクリート造のもの</v>
      </c>
      <c r="L17" s="100" t="s">
        <v>268</v>
      </c>
      <c r="M17" s="100" t="s">
        <v>216</v>
      </c>
      <c r="N17" s="100" t="s">
        <v>220</v>
      </c>
      <c r="O17" s="100" t="s">
        <v>217</v>
      </c>
      <c r="P17" s="100" t="s">
        <v>218</v>
      </c>
      <c r="Q17" s="100" t="s">
        <v>268</v>
      </c>
      <c r="R17" s="9" t="str">
        <f t="shared" si="1"/>
        <v>建物_鉄骨鉄筋コンクリート造又は鉄筋コンクリート造のもの_工場（作業場を含む。）用又は倉庫用のもの　その他のもの　その他のもの</v>
      </c>
      <c r="S17" s="100">
        <v>38</v>
      </c>
      <c r="U17" s="9" t="s">
        <v>227</v>
      </c>
      <c r="V17" s="1" t="s">
        <v>269</v>
      </c>
      <c r="AC17" s="9">
        <v>1</v>
      </c>
      <c r="AD17" s="1">
        <v>14</v>
      </c>
      <c r="AG17" s="1">
        <v>16</v>
      </c>
      <c r="AH17" s="1">
        <v>0.125</v>
      </c>
      <c r="AI17" s="1">
        <v>6.3E-2</v>
      </c>
      <c r="AJ17" s="1">
        <v>0.14299999999999999</v>
      </c>
      <c r="AK17" s="1">
        <v>4.2939999999999999E-2</v>
      </c>
    </row>
    <row r="18" spans="3:37">
      <c r="C18" s="9" t="s">
        <v>221</v>
      </c>
      <c r="D18" s="100" t="str">
        <v>9 石油製品又は石炭製品製造業用設備</v>
      </c>
      <c r="E18" s="100" t="s">
        <v>216</v>
      </c>
      <c r="F18" s="9" t="s">
        <v>257</v>
      </c>
      <c r="G18" s="100" t="str">
        <v>店用簡易装備</v>
      </c>
      <c r="H18" s="100"/>
      <c r="I18" s="9" t="s">
        <v>217</v>
      </c>
      <c r="J18" s="100" t="s">
        <v>270</v>
      </c>
      <c r="K18" s="9" t="str">
        <f t="shared" si="0"/>
        <v>建物_れんが造、石造又はブロック造のもの</v>
      </c>
      <c r="L18" s="100" t="s">
        <v>219</v>
      </c>
      <c r="M18" s="100" t="s">
        <v>216</v>
      </c>
      <c r="N18" s="100" t="s">
        <v>220</v>
      </c>
      <c r="O18" s="100" t="s">
        <v>217</v>
      </c>
      <c r="P18" s="100" t="s">
        <v>270</v>
      </c>
      <c r="Q18" s="100" t="s">
        <v>219</v>
      </c>
      <c r="R18" s="9" t="str">
        <f t="shared" si="1"/>
        <v>建物_れんが造、石造又はブロック造のもの_事務所用又は美術館用のもの及び左記以外のもの</v>
      </c>
      <c r="S18" s="100">
        <v>41</v>
      </c>
      <c r="U18" s="9" t="s">
        <v>227</v>
      </c>
      <c r="V18" s="1" t="s">
        <v>271</v>
      </c>
      <c r="AC18" s="9">
        <v>1</v>
      </c>
      <c r="AD18" s="1">
        <v>15</v>
      </c>
      <c r="AG18" s="1">
        <v>17</v>
      </c>
      <c r="AH18" s="1">
        <v>0.11799999999999999</v>
      </c>
      <c r="AI18" s="1">
        <v>5.8999999999999997E-2</v>
      </c>
      <c r="AJ18" s="1">
        <v>0.125</v>
      </c>
      <c r="AK18" s="1">
        <v>4.0379999999999999E-2</v>
      </c>
    </row>
    <row r="19" spans="3:37">
      <c r="C19" s="9" t="s">
        <v>221</v>
      </c>
      <c r="D19" s="100" t="str">
        <v>10 プラスチック製品製造業用設備（他の号に掲げるものを除く。）</v>
      </c>
      <c r="E19" s="100" t="s">
        <v>216</v>
      </c>
      <c r="F19" s="9" t="s">
        <v>257</v>
      </c>
      <c r="G19" s="100" t="str">
        <v>可動間仕切り</v>
      </c>
      <c r="H19" s="100"/>
      <c r="I19" s="9" t="s">
        <v>217</v>
      </c>
      <c r="J19" s="9" t="s">
        <v>270</v>
      </c>
      <c r="K19" s="9" t="str">
        <f t="shared" si="0"/>
        <v>建物_れんが造、石造又はブロック造のもの</v>
      </c>
      <c r="L19" s="100" t="s">
        <v>272</v>
      </c>
      <c r="M19" s="100" t="s">
        <v>216</v>
      </c>
      <c r="N19" s="100" t="s">
        <v>220</v>
      </c>
      <c r="O19" s="100" t="s">
        <v>217</v>
      </c>
      <c r="P19" s="100" t="s">
        <v>270</v>
      </c>
      <c r="Q19" s="100" t="s">
        <v>272</v>
      </c>
      <c r="R19" s="9" t="str">
        <f t="shared" si="1"/>
        <v>建物_れんが造、石造又はブロック造のもの_店舗用、住宅用、寄宿舎用、宿泊所用、学校用又は体育館用のもの</v>
      </c>
      <c r="S19" s="100">
        <v>38</v>
      </c>
      <c r="U19" s="1" t="s">
        <v>237</v>
      </c>
      <c r="V19" s="1" t="s">
        <v>273</v>
      </c>
      <c r="AC19" s="9">
        <v>1</v>
      </c>
      <c r="AD19" s="1">
        <v>16</v>
      </c>
      <c r="AG19" s="1">
        <v>18</v>
      </c>
      <c r="AH19" s="1">
        <v>0.111</v>
      </c>
      <c r="AI19" s="1">
        <v>5.6000000000000001E-2</v>
      </c>
      <c r="AJ19" s="1">
        <v>0.112</v>
      </c>
      <c r="AK19" s="1">
        <v>3.884E-2</v>
      </c>
    </row>
    <row r="20" spans="3:37">
      <c r="C20" s="9" t="s">
        <v>221</v>
      </c>
      <c r="D20" s="100" t="str">
        <v>11 ゴム製品製造業用設備</v>
      </c>
      <c r="E20" s="100" t="s">
        <v>216</v>
      </c>
      <c r="F20" s="9" t="s">
        <v>257</v>
      </c>
      <c r="G20" s="100" t="str">
        <v>前掲のもの以外のもの及び前掲の区分によらないもの</v>
      </c>
      <c r="H20" s="100"/>
      <c r="I20" s="9" t="s">
        <v>217</v>
      </c>
      <c r="J20" s="9" t="s">
        <v>270</v>
      </c>
      <c r="K20" s="9" t="str">
        <f t="shared" si="0"/>
        <v>建物_れんが造、石造又はブロック造のもの</v>
      </c>
      <c r="L20" s="100" t="s">
        <v>274</v>
      </c>
      <c r="M20" s="100" t="s">
        <v>216</v>
      </c>
      <c r="N20" s="100" t="s">
        <v>220</v>
      </c>
      <c r="O20" s="100" t="s">
        <v>217</v>
      </c>
      <c r="P20" s="100" t="s">
        <v>270</v>
      </c>
      <c r="Q20" s="100" t="s">
        <v>274</v>
      </c>
      <c r="R20" s="9" t="str">
        <f t="shared" si="1"/>
        <v>建物_れんが造、石造又はブロック造のもの_飲食店用、貸席用、劇場用、演奏場用、映画館用又は舞踏場用のもの</v>
      </c>
      <c r="S20" s="100">
        <v>38</v>
      </c>
      <c r="U20" s="9" t="s">
        <v>275</v>
      </c>
      <c r="V20" s="1" t="s">
        <v>276</v>
      </c>
      <c r="AC20" s="9">
        <v>1</v>
      </c>
      <c r="AD20" s="1">
        <v>17</v>
      </c>
      <c r="AG20" s="1">
        <v>19</v>
      </c>
      <c r="AH20" s="1">
        <v>0.105</v>
      </c>
      <c r="AI20" s="1">
        <v>5.2999999999999999E-2</v>
      </c>
      <c r="AJ20" s="1">
        <v>0.112</v>
      </c>
      <c r="AK20" s="1">
        <v>3.6929999999999998E-2</v>
      </c>
    </row>
    <row r="21" spans="3:37">
      <c r="C21" s="9" t="s">
        <v>221</v>
      </c>
      <c r="D21" s="100" t="str">
        <v>12 なめし革、なめし革製品又は毛皮製造業用設備</v>
      </c>
      <c r="E21" s="100" t="s">
        <v>216</v>
      </c>
      <c r="F21" s="100" t="s">
        <v>277</v>
      </c>
      <c r="G21" s="100" t="str" cm="1">
        <f t="array" ref="G21:G29">_xlfn.UNIQUE(P95:P109)</f>
        <v>測定工具及び検査工具（電気又は電子を利用するものを含む。）</v>
      </c>
      <c r="H21" s="100"/>
      <c r="I21" s="9" t="s">
        <v>217</v>
      </c>
      <c r="J21" s="9" t="s">
        <v>270</v>
      </c>
      <c r="K21" s="9" t="str">
        <f t="shared" si="0"/>
        <v>建物_れんが造、石造又はブロック造のもの</v>
      </c>
      <c r="L21" s="100" t="s">
        <v>278</v>
      </c>
      <c r="M21" s="100" t="s">
        <v>216</v>
      </c>
      <c r="N21" s="100" t="s">
        <v>220</v>
      </c>
      <c r="O21" s="100" t="s">
        <v>217</v>
      </c>
      <c r="P21" s="100" t="s">
        <v>270</v>
      </c>
      <c r="Q21" s="100" t="s">
        <v>278</v>
      </c>
      <c r="R21" s="9" t="str">
        <f t="shared" si="1"/>
        <v>建物_れんが造、石造又はブロック造のもの_旅館用、ホテル用又は病院用のもの</v>
      </c>
      <c r="S21" s="100">
        <v>36</v>
      </c>
      <c r="U21" s="9" t="s">
        <v>275</v>
      </c>
      <c r="V21" s="1" t="s">
        <v>279</v>
      </c>
      <c r="AC21" s="9">
        <v>1</v>
      </c>
      <c r="AD21" s="1">
        <v>18</v>
      </c>
      <c r="AG21" s="1">
        <v>20</v>
      </c>
      <c r="AH21" s="1">
        <v>0.1</v>
      </c>
      <c r="AI21" s="1">
        <v>0.05</v>
      </c>
      <c r="AJ21" s="1">
        <v>0.112</v>
      </c>
      <c r="AK21" s="1">
        <v>3.4860000000000002E-2</v>
      </c>
    </row>
    <row r="22" spans="3:37">
      <c r="C22" s="9" t="s">
        <v>221</v>
      </c>
      <c r="D22" s="100" t="str">
        <v>13 窯業又は土石製品製造業用設備</v>
      </c>
      <c r="E22" s="100" t="s">
        <v>216</v>
      </c>
      <c r="F22" s="9" t="s">
        <v>277</v>
      </c>
      <c r="G22" s="100" t="str">
        <v>治具及び取付工具</v>
      </c>
      <c r="H22" s="100"/>
      <c r="I22" s="9" t="s">
        <v>217</v>
      </c>
      <c r="J22" s="9" t="s">
        <v>270</v>
      </c>
      <c r="K22" s="9" t="str">
        <f t="shared" si="0"/>
        <v>建物_れんが造、石造又はブロック造のもの</v>
      </c>
      <c r="L22" s="100" t="s">
        <v>254</v>
      </c>
      <c r="M22" s="100" t="s">
        <v>216</v>
      </c>
      <c r="N22" s="100" t="s">
        <v>220</v>
      </c>
      <c r="O22" s="100" t="s">
        <v>217</v>
      </c>
      <c r="P22" s="100" t="s">
        <v>270</v>
      </c>
      <c r="Q22" s="100" t="s">
        <v>254</v>
      </c>
      <c r="R22" s="9" t="str">
        <f t="shared" si="1"/>
        <v>建物_れんが造、石造又はブロック造のもの_変電所用、発電所用、送受信所用、停車場用、車庫用、格納庫用、荷扱所用、映画製作ステージ用、屋内スケート場用、魚市場用又はと畜場用のもの</v>
      </c>
      <c r="S22" s="100">
        <v>34</v>
      </c>
      <c r="U22" s="9" t="s">
        <v>275</v>
      </c>
      <c r="V22" s="1" t="s">
        <v>280</v>
      </c>
      <c r="AC22" s="9">
        <v>1</v>
      </c>
      <c r="AD22" s="1">
        <v>19</v>
      </c>
      <c r="AG22" s="1">
        <v>21</v>
      </c>
      <c r="AH22" s="1">
        <v>9.5000000000000001E-2</v>
      </c>
      <c r="AI22" s="1">
        <v>4.8000000000000001E-2</v>
      </c>
      <c r="AJ22" s="1">
        <v>0.1</v>
      </c>
      <c r="AK22" s="1">
        <v>3.3349999999999998E-2</v>
      </c>
    </row>
    <row r="23" spans="3:37">
      <c r="C23" s="9" t="s">
        <v>221</v>
      </c>
      <c r="D23" s="100" t="str">
        <v>14 鉄鋼業用設備</v>
      </c>
      <c r="E23" s="100" t="s">
        <v>216</v>
      </c>
      <c r="F23" s="9" t="s">
        <v>277</v>
      </c>
      <c r="G23" s="100" t="str">
        <v>ロール</v>
      </c>
      <c r="H23" s="100"/>
      <c r="I23" s="9" t="s">
        <v>217</v>
      </c>
      <c r="J23" s="9" t="s">
        <v>270</v>
      </c>
      <c r="K23" s="9" t="str">
        <f t="shared" si="0"/>
        <v>建物_れんが造、石造又はブロック造のもの</v>
      </c>
      <c r="L23" s="100" t="s">
        <v>258</v>
      </c>
      <c r="M23" s="100" t="s">
        <v>216</v>
      </c>
      <c r="N23" s="100" t="s">
        <v>220</v>
      </c>
      <c r="O23" s="100" t="s">
        <v>217</v>
      </c>
      <c r="P23" s="100" t="s">
        <v>270</v>
      </c>
      <c r="Q23" s="100" t="s">
        <v>258</v>
      </c>
      <c r="R23" s="9" t="str">
        <f t="shared" si="1"/>
        <v>建物_れんが造、石造又はブロック造のもの_公衆浴場用のもの</v>
      </c>
      <c r="S23" s="100">
        <v>30</v>
      </c>
      <c r="U23" s="9" t="s">
        <v>275</v>
      </c>
      <c r="V23" s="1" t="s">
        <v>271</v>
      </c>
      <c r="AC23" s="9">
        <v>1</v>
      </c>
      <c r="AD23" s="1">
        <v>20</v>
      </c>
      <c r="AG23" s="1">
        <v>22</v>
      </c>
      <c r="AH23" s="1">
        <v>9.0999999999999998E-2</v>
      </c>
      <c r="AI23" s="1">
        <v>4.5999999999999999E-2</v>
      </c>
      <c r="AJ23" s="1">
        <v>0.1</v>
      </c>
      <c r="AK23" s="1">
        <v>3.1820000000000001E-2</v>
      </c>
    </row>
    <row r="24" spans="3:37">
      <c r="C24" s="9" t="s">
        <v>221</v>
      </c>
      <c r="D24" s="100" t="str">
        <v>15 非鉄金属製造業用設備</v>
      </c>
      <c r="E24" s="100" t="s">
        <v>216</v>
      </c>
      <c r="F24" s="9" t="s">
        <v>277</v>
      </c>
      <c r="G24" s="100" t="str">
        <v>型（型枠を含む。）、鍛圧工具及び打抜工具</v>
      </c>
      <c r="H24" s="100"/>
      <c r="I24" s="9" t="s">
        <v>217</v>
      </c>
      <c r="J24" s="9" t="s">
        <v>270</v>
      </c>
      <c r="K24" s="9" t="str">
        <f t="shared" si="0"/>
        <v>建物_れんが造、石造又はブロック造のもの</v>
      </c>
      <c r="L24" s="100" t="s">
        <v>281</v>
      </c>
      <c r="M24" s="100" t="s">
        <v>216</v>
      </c>
      <c r="N24" s="100" t="s">
        <v>220</v>
      </c>
      <c r="O24" s="100" t="s">
        <v>217</v>
      </c>
      <c r="P24" s="100" t="s">
        <v>270</v>
      </c>
      <c r="Q24" s="100" t="s">
        <v>281</v>
      </c>
      <c r="R24" s="9" t="str">
        <f t="shared" si="1"/>
        <v>建物_れんが造、石造又はブロック造のもの_工場（作業場を含む。）用又は倉庫用のもの　塩素、塩酸、硫酸、硝酸その他の著しい腐食性を有する液体又は気体の影響を直接全面的に受けるもの及び冷蔵倉庫用のもの（倉庫事業の倉庫用のものを除く。）</v>
      </c>
      <c r="S24" s="100">
        <v>22</v>
      </c>
      <c r="AC24" s="9">
        <v>1</v>
      </c>
      <c r="AD24" s="1">
        <v>21</v>
      </c>
      <c r="AG24" s="1">
        <v>23</v>
      </c>
      <c r="AH24" s="1">
        <v>8.6999999999999994E-2</v>
      </c>
      <c r="AI24" s="1">
        <v>4.3999999999999997E-2</v>
      </c>
      <c r="AJ24" s="1">
        <v>9.0999999999999998E-2</v>
      </c>
      <c r="AK24" s="1">
        <v>3.0519999999999999E-2</v>
      </c>
    </row>
    <row r="25" spans="3:37">
      <c r="C25" s="9" t="s">
        <v>221</v>
      </c>
      <c r="D25" s="100" t="str">
        <v>16 金属製品製造業用設備</v>
      </c>
      <c r="E25" s="100" t="s">
        <v>216</v>
      </c>
      <c r="F25" s="9" t="s">
        <v>277</v>
      </c>
      <c r="G25" s="100" t="str">
        <v>切削工具</v>
      </c>
      <c r="H25" s="100"/>
      <c r="I25" s="9" t="s">
        <v>217</v>
      </c>
      <c r="J25" s="9" t="s">
        <v>270</v>
      </c>
      <c r="K25" s="9" t="str">
        <f t="shared" si="0"/>
        <v>建物_れんが造、石造又はブロック造のもの</v>
      </c>
      <c r="L25" s="100" t="s">
        <v>262</v>
      </c>
      <c r="M25" s="100" t="s">
        <v>216</v>
      </c>
      <c r="N25" s="100" t="s">
        <v>220</v>
      </c>
      <c r="O25" s="100" t="s">
        <v>217</v>
      </c>
      <c r="P25" s="100" t="s">
        <v>270</v>
      </c>
      <c r="Q25" s="100" t="s">
        <v>262</v>
      </c>
      <c r="R25" s="9" t="str">
        <f t="shared" si="1"/>
        <v>建物_れんが造、石造又はブロック造のもの_工場（作業場を含む。）用又は倉庫用のもの　塩、チリ硝石その他の著しい潮解性を有する固体を常時蔵置するためのもの及び著しい蒸気の影響を直接全面的に受けるもの</v>
      </c>
      <c r="S25" s="100">
        <v>28</v>
      </c>
      <c r="AC25" s="9">
        <v>1</v>
      </c>
      <c r="AD25" s="1">
        <v>22</v>
      </c>
      <c r="AG25" s="1">
        <v>24</v>
      </c>
      <c r="AH25" s="1">
        <v>8.3000000000000004E-2</v>
      </c>
      <c r="AI25" s="1">
        <v>4.2000000000000003E-2</v>
      </c>
      <c r="AJ25" s="1">
        <v>8.4000000000000005E-2</v>
      </c>
      <c r="AK25" s="1">
        <v>2.9690000000000001E-2</v>
      </c>
    </row>
    <row r="26" spans="3:37">
      <c r="C26" s="9" t="s">
        <v>221</v>
      </c>
      <c r="D26" s="100" t="str">
        <v>17 はん用機械器具（はん用性を有するもので、他の器具及び備品並びに機械及び装置に組み込み、又は取り付けることによりその用に供されるものをいう。）製造業用設備（第二〇号及び第二二号に掲げるものを除く。）</v>
      </c>
      <c r="E26" s="100" t="s">
        <v>216</v>
      </c>
      <c r="F26" s="9" t="s">
        <v>277</v>
      </c>
      <c r="G26" s="100" t="str">
        <v>金属製柱及びカッペ</v>
      </c>
      <c r="H26" s="100"/>
      <c r="I26" s="9" t="s">
        <v>217</v>
      </c>
      <c r="J26" s="9" t="s">
        <v>270</v>
      </c>
      <c r="K26" s="9" t="str">
        <f t="shared" si="0"/>
        <v>建物_れんが造、石造又はブロック造のもの</v>
      </c>
      <c r="L26" s="100" t="s">
        <v>264</v>
      </c>
      <c r="M26" s="100" t="s">
        <v>216</v>
      </c>
      <c r="N26" s="100" t="s">
        <v>220</v>
      </c>
      <c r="O26" s="100" t="s">
        <v>217</v>
      </c>
      <c r="P26" s="100" t="s">
        <v>270</v>
      </c>
      <c r="Q26" s="100" t="s">
        <v>264</v>
      </c>
      <c r="R26" s="9" t="str">
        <f t="shared" si="1"/>
        <v>建物_れんが造、石造又はブロック造のもの_工場（作業場を含む。）用又は倉庫用のもの　その他のもの　倉庫事業の倉庫用のもの　冷蔵倉庫用のもの</v>
      </c>
      <c r="S26" s="100">
        <v>20</v>
      </c>
      <c r="AC26" s="9">
        <v>1</v>
      </c>
      <c r="AD26" s="1">
        <v>23</v>
      </c>
      <c r="AG26" s="1">
        <v>25</v>
      </c>
      <c r="AH26" s="1">
        <v>0.08</v>
      </c>
      <c r="AI26" s="1">
        <v>0.04</v>
      </c>
      <c r="AJ26" s="1">
        <v>8.4000000000000005E-2</v>
      </c>
      <c r="AK26" s="1">
        <v>2.8410000000000001E-2</v>
      </c>
    </row>
    <row r="27" spans="3:37">
      <c r="C27" s="9" t="s">
        <v>221</v>
      </c>
      <c r="D27" s="100" t="str">
        <v>18 生産用機械器具（物の生産の用に供されるものをいう。）製造業用設備（次号及び第二一号に掲げるものを除く。）</v>
      </c>
      <c r="E27" s="100" t="s">
        <v>216</v>
      </c>
      <c r="F27" s="9" t="s">
        <v>277</v>
      </c>
      <c r="G27" s="100" t="str">
        <v>活字及び活字に常用される金属</v>
      </c>
      <c r="H27" s="100"/>
      <c r="I27" s="9" t="s">
        <v>217</v>
      </c>
      <c r="J27" s="9" t="s">
        <v>270</v>
      </c>
      <c r="K27" s="9" t="str">
        <f t="shared" si="0"/>
        <v>建物_れんが造、石造又はブロック造のもの</v>
      </c>
      <c r="L27" s="100" t="s">
        <v>266</v>
      </c>
      <c r="M27" s="100" t="s">
        <v>216</v>
      </c>
      <c r="N27" s="100" t="s">
        <v>220</v>
      </c>
      <c r="O27" s="100" t="s">
        <v>217</v>
      </c>
      <c r="P27" s="100" t="s">
        <v>270</v>
      </c>
      <c r="Q27" s="100" t="s">
        <v>266</v>
      </c>
      <c r="R27" s="9" t="str">
        <f t="shared" si="1"/>
        <v>建物_れんが造、石造又はブロック造のもの_工場（作業場を含む。）用又は倉庫用のもの　その他のもの　倉庫事業の倉庫用のもの　その他のもの</v>
      </c>
      <c r="S27" s="100">
        <v>30</v>
      </c>
      <c r="AC27" s="9">
        <v>1</v>
      </c>
      <c r="AD27" s="1">
        <v>24</v>
      </c>
      <c r="AG27" s="1">
        <v>26</v>
      </c>
      <c r="AH27" s="1">
        <v>7.6999999999999999E-2</v>
      </c>
      <c r="AI27" s="1">
        <v>3.9E-2</v>
      </c>
      <c r="AJ27" s="1">
        <v>8.4000000000000005E-2</v>
      </c>
      <c r="AK27" s="1">
        <v>2.716E-2</v>
      </c>
    </row>
    <row r="28" spans="3:37">
      <c r="C28" s="9" t="s">
        <v>221</v>
      </c>
      <c r="D28" s="100" t="str">
        <v>19 業務用機械器具（業務用又はサービスの生産の用に供されるもの（これらのものであつて物の生産の用に供されるものを含む。）をいう。）製造業用設備（第一七号、第二一号及び第二三号に掲げるものを除く。）</v>
      </c>
      <c r="E28" s="100" t="s">
        <v>216</v>
      </c>
      <c r="F28" s="9" t="s">
        <v>277</v>
      </c>
      <c r="G28" s="100" t="str">
        <v>前掲のもの以外のもの</v>
      </c>
      <c r="H28" s="100"/>
      <c r="I28" s="9" t="s">
        <v>217</v>
      </c>
      <c r="J28" s="9" t="s">
        <v>270</v>
      </c>
      <c r="K28" s="9" t="str">
        <f t="shared" si="0"/>
        <v>建物_れんが造、石造又はブロック造のもの</v>
      </c>
      <c r="L28" s="100" t="s">
        <v>268</v>
      </c>
      <c r="M28" s="100" t="s">
        <v>216</v>
      </c>
      <c r="N28" s="100" t="s">
        <v>220</v>
      </c>
      <c r="O28" s="100" t="s">
        <v>217</v>
      </c>
      <c r="P28" s="100" t="s">
        <v>270</v>
      </c>
      <c r="Q28" s="100" t="s">
        <v>268</v>
      </c>
      <c r="R28" s="9" t="str">
        <f t="shared" si="1"/>
        <v>建物_れんが造、石造又はブロック造のもの_工場（作業場を含む。）用又は倉庫用のもの　その他のもの　その他のもの</v>
      </c>
      <c r="S28" s="100">
        <v>34</v>
      </c>
      <c r="AC28" s="9">
        <v>1</v>
      </c>
      <c r="AD28" s="1">
        <v>25</v>
      </c>
      <c r="AG28" s="1">
        <v>27</v>
      </c>
      <c r="AH28" s="1">
        <v>7.3999999999999996E-2</v>
      </c>
      <c r="AI28" s="1">
        <v>3.7999999999999999E-2</v>
      </c>
      <c r="AJ28" s="1">
        <v>7.6999999999999999E-2</v>
      </c>
      <c r="AK28" s="1">
        <v>2.6239999999999999E-2</v>
      </c>
    </row>
    <row r="29" spans="3:37">
      <c r="C29" s="9" t="s">
        <v>221</v>
      </c>
      <c r="D29" s="100" t="str">
        <v>20 電子部品、デバイス又は電子回路製造業用設備</v>
      </c>
      <c r="E29" s="100" t="s">
        <v>216</v>
      </c>
      <c r="F29" s="9" t="s">
        <v>277</v>
      </c>
      <c r="G29" s="100" t="str">
        <v>前掲の区分によらないもの</v>
      </c>
      <c r="H29" s="100"/>
      <c r="I29" s="9" t="s">
        <v>217</v>
      </c>
      <c r="J29" s="100" t="s">
        <v>282</v>
      </c>
      <c r="K29" s="9" t="str">
        <f t="shared" si="0"/>
        <v>建物_金属造のもの（骨格材の肉厚が四ミリメートルを超えるものに限る。）</v>
      </c>
      <c r="L29" s="100" t="s">
        <v>219</v>
      </c>
      <c r="M29" s="100" t="s">
        <v>216</v>
      </c>
      <c r="N29" s="100" t="s">
        <v>220</v>
      </c>
      <c r="O29" s="100" t="s">
        <v>217</v>
      </c>
      <c r="P29" s="100" t="s">
        <v>282</v>
      </c>
      <c r="Q29" s="100" t="s">
        <v>219</v>
      </c>
      <c r="R29" s="9" t="str">
        <f t="shared" si="1"/>
        <v>建物_金属造のもの（骨格材の肉厚が四ミリメートルを超えるものに限る。）_事務所用又は美術館用のもの及び左記以外のもの</v>
      </c>
      <c r="S29" s="100">
        <v>38</v>
      </c>
      <c r="AC29" s="9">
        <v>1</v>
      </c>
      <c r="AD29" s="1">
        <v>26</v>
      </c>
      <c r="AG29" s="1">
        <v>28</v>
      </c>
      <c r="AH29" s="1">
        <v>7.0999999999999994E-2</v>
      </c>
      <c r="AI29" s="1">
        <v>3.5999999999999997E-2</v>
      </c>
      <c r="AJ29" s="1">
        <v>7.1999999999999995E-2</v>
      </c>
      <c r="AK29" s="1">
        <v>2.5680000000000001E-2</v>
      </c>
    </row>
    <row r="30" spans="3:37">
      <c r="C30" s="9" t="s">
        <v>221</v>
      </c>
      <c r="D30" s="100" t="str">
        <v>21 電気機械器具製造業用設備</v>
      </c>
      <c r="E30" s="100" t="s">
        <v>216</v>
      </c>
      <c r="F30" s="100" t="s">
        <v>283</v>
      </c>
      <c r="G30" s="100" t="str" cm="1">
        <f t="array" ref="G30:G41">_xlfn.UNIQUE(P111:P203)</f>
        <v>１　家具、電気機器、ガス機器及び家庭用品（他の項に掲げるものを除く。）</v>
      </c>
      <c r="H30" s="100"/>
      <c r="I30" s="9" t="s">
        <v>217</v>
      </c>
      <c r="J30" s="9" t="s">
        <v>282</v>
      </c>
      <c r="K30" s="9" t="str">
        <f t="shared" si="0"/>
        <v>建物_金属造のもの（骨格材の肉厚が四ミリメートルを超えるものに限る。）</v>
      </c>
      <c r="L30" s="100" t="s">
        <v>272</v>
      </c>
      <c r="M30" s="100" t="s">
        <v>216</v>
      </c>
      <c r="N30" s="100" t="s">
        <v>220</v>
      </c>
      <c r="O30" s="100" t="s">
        <v>217</v>
      </c>
      <c r="P30" s="100" t="s">
        <v>282</v>
      </c>
      <c r="Q30" s="100" t="s">
        <v>272</v>
      </c>
      <c r="R30" s="9" t="str">
        <f t="shared" si="1"/>
        <v>建物_金属造のもの（骨格材の肉厚が四ミリメートルを超えるものに限る。）_店舗用、住宅用、寄宿舎用、宿泊所用、学校用又は体育館用のもの</v>
      </c>
      <c r="S30" s="100">
        <v>34</v>
      </c>
      <c r="AC30" s="9">
        <v>1</v>
      </c>
      <c r="AD30" s="1">
        <v>27</v>
      </c>
      <c r="AG30" s="1">
        <v>29</v>
      </c>
      <c r="AH30" s="1">
        <v>6.9000000000000006E-2</v>
      </c>
      <c r="AI30" s="1">
        <v>3.5000000000000003E-2</v>
      </c>
      <c r="AJ30" s="1">
        <v>7.1999999999999995E-2</v>
      </c>
      <c r="AK30" s="1">
        <v>2.4629999999999999E-2</v>
      </c>
    </row>
    <row r="31" spans="3:37">
      <c r="C31" s="9" t="s">
        <v>221</v>
      </c>
      <c r="D31" s="100" t="str">
        <v>22 情報通信機械器具製造業用設備</v>
      </c>
      <c r="E31" s="100" t="s">
        <v>216</v>
      </c>
      <c r="F31" s="9" t="s">
        <v>283</v>
      </c>
      <c r="G31" s="100" t="str">
        <v>２　事務機器及び通信機器</v>
      </c>
      <c r="H31" s="100"/>
      <c r="I31" s="9" t="s">
        <v>217</v>
      </c>
      <c r="J31" s="9" t="s">
        <v>282</v>
      </c>
      <c r="K31" s="9" t="str">
        <f t="shared" si="0"/>
        <v>建物_金属造のもの（骨格材の肉厚が四ミリメートルを超えるものに限る。）</v>
      </c>
      <c r="L31" s="100" t="s">
        <v>274</v>
      </c>
      <c r="M31" s="100" t="s">
        <v>216</v>
      </c>
      <c r="N31" s="100" t="s">
        <v>220</v>
      </c>
      <c r="O31" s="100" t="s">
        <v>217</v>
      </c>
      <c r="P31" s="100" t="s">
        <v>282</v>
      </c>
      <c r="Q31" s="100" t="s">
        <v>274</v>
      </c>
      <c r="R31" s="9" t="str">
        <f t="shared" si="1"/>
        <v>建物_金属造のもの（骨格材の肉厚が四ミリメートルを超えるものに限る。）_飲食店用、貸席用、劇場用、演奏場用、映画館用又は舞踏場用のもの</v>
      </c>
      <c r="S31" s="100">
        <v>31</v>
      </c>
      <c r="AC31" s="9">
        <v>1</v>
      </c>
      <c r="AD31" s="1">
        <v>28</v>
      </c>
      <c r="AG31" s="1">
        <v>30</v>
      </c>
      <c r="AH31" s="1">
        <v>6.7000000000000004E-2</v>
      </c>
      <c r="AI31" s="1">
        <v>3.4000000000000002E-2</v>
      </c>
      <c r="AJ31" s="1">
        <v>7.1999999999999995E-2</v>
      </c>
      <c r="AK31" s="1">
        <v>2.366E-2</v>
      </c>
    </row>
    <row r="32" spans="3:37">
      <c r="C32" s="9" t="s">
        <v>221</v>
      </c>
      <c r="D32" s="100" t="str">
        <v>23 輸送用機械器具製造業用設備</v>
      </c>
      <c r="E32" s="100" t="s">
        <v>216</v>
      </c>
      <c r="F32" s="9" t="s">
        <v>284</v>
      </c>
      <c r="G32" s="100" t="str">
        <v>３　時計、試験機器及び測定機器</v>
      </c>
      <c r="H32" s="100"/>
      <c r="I32" s="9" t="s">
        <v>217</v>
      </c>
      <c r="J32" s="9" t="s">
        <v>282</v>
      </c>
      <c r="K32" s="9" t="str">
        <f t="shared" si="0"/>
        <v>建物_金属造のもの（骨格材の肉厚が四ミリメートルを超えるものに限る。）</v>
      </c>
      <c r="L32" s="100" t="s">
        <v>254</v>
      </c>
      <c r="M32" s="100" t="s">
        <v>216</v>
      </c>
      <c r="N32" s="100" t="s">
        <v>220</v>
      </c>
      <c r="O32" s="100" t="s">
        <v>217</v>
      </c>
      <c r="P32" s="100" t="s">
        <v>282</v>
      </c>
      <c r="Q32" s="100" t="s">
        <v>254</v>
      </c>
      <c r="R32" s="9" t="str">
        <f t="shared" si="1"/>
        <v>建物_金属造のもの（骨格材の肉厚が四ミリメートルを超えるものに限る。）_変電所用、発電所用、送受信所用、停車場用、車庫用、格納庫用、荷扱所用、映画製作ステージ用、屋内スケート場用、魚市場用又はと畜場用のもの</v>
      </c>
      <c r="S32" s="100">
        <v>31</v>
      </c>
      <c r="AC32" s="9">
        <v>1</v>
      </c>
      <c r="AD32" s="1">
        <v>29</v>
      </c>
      <c r="AG32" s="1">
        <v>31</v>
      </c>
      <c r="AH32" s="1">
        <v>6.5000000000000002E-2</v>
      </c>
      <c r="AI32" s="1">
        <v>3.3000000000000002E-2</v>
      </c>
      <c r="AJ32" s="1">
        <v>6.7000000000000004E-2</v>
      </c>
      <c r="AK32" s="1">
        <v>2.2859999999999998E-2</v>
      </c>
    </row>
    <row r="33" spans="3:37">
      <c r="C33" s="9" t="s">
        <v>221</v>
      </c>
      <c r="D33" s="100" t="str">
        <v>24 その他の製造業用設備</v>
      </c>
      <c r="E33" s="100" t="s">
        <v>216</v>
      </c>
      <c r="F33" s="9" t="s">
        <v>283</v>
      </c>
      <c r="G33" s="100" t="str">
        <v>４　光学機器及び写真製作機器</v>
      </c>
      <c r="H33" s="100"/>
      <c r="I33" s="9" t="s">
        <v>217</v>
      </c>
      <c r="J33" s="9" t="s">
        <v>282</v>
      </c>
      <c r="K33" s="9" t="str">
        <f t="shared" si="0"/>
        <v>建物_金属造のもの（骨格材の肉厚が四ミリメートルを超えるものに限る。）</v>
      </c>
      <c r="L33" s="100" t="s">
        <v>278</v>
      </c>
      <c r="M33" s="100" t="s">
        <v>216</v>
      </c>
      <c r="N33" s="100" t="s">
        <v>220</v>
      </c>
      <c r="O33" s="100" t="s">
        <v>217</v>
      </c>
      <c r="P33" s="100" t="s">
        <v>282</v>
      </c>
      <c r="Q33" s="100" t="s">
        <v>278</v>
      </c>
      <c r="R33" s="9" t="str">
        <f t="shared" si="1"/>
        <v>建物_金属造のもの（骨格材の肉厚が四ミリメートルを超えるものに限る。）_旅館用、ホテル用又は病院用のもの</v>
      </c>
      <c r="S33" s="100">
        <v>29</v>
      </c>
      <c r="AC33" s="9">
        <v>1</v>
      </c>
      <c r="AD33" s="1">
        <v>30</v>
      </c>
      <c r="AG33" s="1">
        <v>32</v>
      </c>
      <c r="AH33" s="1">
        <v>6.3E-2</v>
      </c>
      <c r="AI33" s="1">
        <v>3.2000000000000001E-2</v>
      </c>
      <c r="AJ33" s="1">
        <v>6.7000000000000004E-2</v>
      </c>
      <c r="AK33" s="1">
        <v>2.2159999999999999E-2</v>
      </c>
    </row>
    <row r="34" spans="3:37">
      <c r="C34" s="9" t="s">
        <v>221</v>
      </c>
      <c r="D34" s="100" t="str">
        <v>25 農業用設備</v>
      </c>
      <c r="E34" s="100" t="s">
        <v>216</v>
      </c>
      <c r="F34" s="9" t="s">
        <v>283</v>
      </c>
      <c r="G34" s="100" t="str">
        <v>５　看板及び広告器具</v>
      </c>
      <c r="H34" s="100"/>
      <c r="I34" s="9" t="s">
        <v>217</v>
      </c>
      <c r="J34" s="9" t="s">
        <v>282</v>
      </c>
      <c r="K34" s="9" t="str">
        <f t="shared" si="0"/>
        <v>建物_金属造のもの（骨格材の肉厚が四ミリメートルを超えるものに限る。）</v>
      </c>
      <c r="L34" s="100" t="s">
        <v>258</v>
      </c>
      <c r="M34" s="100" t="s">
        <v>216</v>
      </c>
      <c r="N34" s="100" t="s">
        <v>220</v>
      </c>
      <c r="O34" s="100" t="s">
        <v>217</v>
      </c>
      <c r="P34" s="100" t="s">
        <v>282</v>
      </c>
      <c r="Q34" s="100" t="s">
        <v>258</v>
      </c>
      <c r="R34" s="9" t="str">
        <f t="shared" si="1"/>
        <v>建物_金属造のもの（骨格材の肉厚が四ミリメートルを超えるものに限る。）_公衆浴場用のもの</v>
      </c>
      <c r="S34" s="100">
        <v>27</v>
      </c>
      <c r="AC34" s="1">
        <v>2</v>
      </c>
      <c r="AD34" s="122" t="s">
        <v>161</v>
      </c>
      <c r="AG34" s="1">
        <v>33</v>
      </c>
      <c r="AH34" s="1">
        <v>6.0999999999999999E-2</v>
      </c>
      <c r="AI34" s="1">
        <v>3.1E-2</v>
      </c>
      <c r="AJ34" s="1">
        <v>6.3E-2</v>
      </c>
      <c r="AK34" s="1">
        <v>2.1610000000000001E-2</v>
      </c>
    </row>
    <row r="35" spans="3:37">
      <c r="C35" s="9" t="s">
        <v>221</v>
      </c>
      <c r="D35" s="100" t="str">
        <v>26 林業用設備</v>
      </c>
      <c r="E35" s="100" t="s">
        <v>216</v>
      </c>
      <c r="F35" s="9" t="s">
        <v>283</v>
      </c>
      <c r="G35" s="100" t="str">
        <v>６　容器及び金庫</v>
      </c>
      <c r="H35" s="100"/>
      <c r="I35" s="9" t="s">
        <v>217</v>
      </c>
      <c r="J35" s="9" t="s">
        <v>282</v>
      </c>
      <c r="K35" s="9" t="str">
        <f t="shared" si="0"/>
        <v>建物_金属造のもの（骨格材の肉厚が四ミリメートルを超えるものに限る。）</v>
      </c>
      <c r="L35" s="100" t="s">
        <v>260</v>
      </c>
      <c r="M35" s="100" t="s">
        <v>216</v>
      </c>
      <c r="N35" s="100" t="s">
        <v>220</v>
      </c>
      <c r="O35" s="100" t="s">
        <v>217</v>
      </c>
      <c r="P35" s="100" t="s">
        <v>282</v>
      </c>
      <c r="Q35" s="100" t="s">
        <v>260</v>
      </c>
      <c r="R35" s="9" t="str">
        <f t="shared" si="1"/>
        <v>建物_金属造のもの（骨格材の肉厚が四ミリメートルを超えるものに限る。）_工場（作業場を含む。）用又は倉庫用のもの　塩素、塩酸、硫酸、硝酸その他の著しい腐食性を有する液体又は気体の影響を直接全面的に受けるもの、冷蔵倉庫用のもの（倉庫事業の倉庫用のものを除く。）及び放射性同位元素の放射線を直接受けるもの</v>
      </c>
      <c r="S35" s="100">
        <v>20</v>
      </c>
      <c r="AC35" s="9">
        <v>2</v>
      </c>
      <c r="AD35" s="1">
        <v>1</v>
      </c>
      <c r="AG35" s="1">
        <v>34</v>
      </c>
      <c r="AH35" s="1">
        <v>5.8999999999999997E-2</v>
      </c>
      <c r="AI35" s="1">
        <v>0.03</v>
      </c>
      <c r="AJ35" s="1">
        <v>6.3E-2</v>
      </c>
      <c r="AK35" s="1">
        <v>2.0969999999999999E-2</v>
      </c>
    </row>
    <row r="36" spans="3:37">
      <c r="C36" s="9" t="s">
        <v>221</v>
      </c>
      <c r="D36" s="100" t="str">
        <v>27 漁業用設備（次号に掲げるものを除く。）</v>
      </c>
      <c r="E36" s="100" t="s">
        <v>216</v>
      </c>
      <c r="F36" s="9" t="s">
        <v>283</v>
      </c>
      <c r="G36" s="100" t="str">
        <v>７　理容又は美容機器</v>
      </c>
      <c r="H36" s="100"/>
      <c r="I36" s="9" t="s">
        <v>217</v>
      </c>
      <c r="J36" s="9" t="s">
        <v>282</v>
      </c>
      <c r="K36" s="9" t="str">
        <f t="shared" si="0"/>
        <v>建物_金属造のもの（骨格材の肉厚が四ミリメートルを超えるものに限る。）</v>
      </c>
      <c r="L36" s="100" t="s">
        <v>262</v>
      </c>
      <c r="M36" s="100" t="s">
        <v>216</v>
      </c>
      <c r="N36" s="100" t="s">
        <v>220</v>
      </c>
      <c r="O36" s="100" t="s">
        <v>217</v>
      </c>
      <c r="P36" s="100" t="s">
        <v>282</v>
      </c>
      <c r="Q36" s="100" t="s">
        <v>262</v>
      </c>
      <c r="R36" s="9" t="str">
        <f t="shared" si="1"/>
        <v>建物_金属造のもの（骨格材の肉厚が四ミリメートルを超えるものに限る。）_工場（作業場を含む。）用又は倉庫用のもの　塩、チリ硝石その他の著しい潮解性を有する固体を常時蔵置するためのもの及び著しい蒸気の影響を直接全面的に受けるもの</v>
      </c>
      <c r="S36" s="100">
        <v>25</v>
      </c>
      <c r="AC36" s="9">
        <v>2</v>
      </c>
      <c r="AD36" s="1">
        <v>2</v>
      </c>
      <c r="AG36" s="1">
        <v>35</v>
      </c>
      <c r="AH36" s="1">
        <v>5.7000000000000002E-2</v>
      </c>
      <c r="AI36" s="1">
        <v>2.9000000000000001E-2</v>
      </c>
      <c r="AJ36" s="1">
        <v>5.8999999999999997E-2</v>
      </c>
      <c r="AK36" s="1">
        <v>2.051E-2</v>
      </c>
    </row>
    <row r="37" spans="3:37">
      <c r="C37" s="9" t="s">
        <v>221</v>
      </c>
      <c r="D37" s="100" t="str">
        <v>28 水産養殖業用設備</v>
      </c>
      <c r="E37" s="100" t="s">
        <v>216</v>
      </c>
      <c r="F37" s="9" t="s">
        <v>283</v>
      </c>
      <c r="G37" s="100" t="str">
        <v>８　医療機器</v>
      </c>
      <c r="H37" s="100"/>
      <c r="I37" s="9" t="s">
        <v>217</v>
      </c>
      <c r="J37" s="9" t="s">
        <v>282</v>
      </c>
      <c r="K37" s="9" t="str">
        <f t="shared" si="0"/>
        <v>建物_金属造のもの（骨格材の肉厚が四ミリメートルを超えるものに限る。）</v>
      </c>
      <c r="L37" s="100" t="s">
        <v>264</v>
      </c>
      <c r="M37" s="100" t="s">
        <v>216</v>
      </c>
      <c r="N37" s="100" t="s">
        <v>220</v>
      </c>
      <c r="O37" s="100" t="s">
        <v>217</v>
      </c>
      <c r="P37" s="100" t="s">
        <v>282</v>
      </c>
      <c r="Q37" s="100" t="s">
        <v>264</v>
      </c>
      <c r="R37" s="9" t="str">
        <f t="shared" si="1"/>
        <v>建物_金属造のもの（骨格材の肉厚が四ミリメートルを超えるものに限る。）_工場（作業場を含む。）用又は倉庫用のもの　その他のもの　倉庫事業の倉庫用のもの　冷蔵倉庫用のもの</v>
      </c>
      <c r="S37" s="100">
        <v>19</v>
      </c>
      <c r="AC37" s="9">
        <v>2</v>
      </c>
      <c r="AD37" s="1">
        <v>3</v>
      </c>
      <c r="AG37" s="1">
        <v>36</v>
      </c>
      <c r="AH37" s="1">
        <v>5.6000000000000001E-2</v>
      </c>
      <c r="AI37" s="1">
        <v>2.8000000000000001E-2</v>
      </c>
      <c r="AJ37" s="1">
        <v>5.8999999999999997E-2</v>
      </c>
      <c r="AK37" s="1">
        <v>1.9740000000000001E-2</v>
      </c>
    </row>
    <row r="38" spans="3:37">
      <c r="C38" s="9" t="s">
        <v>221</v>
      </c>
      <c r="D38" s="100" t="str">
        <v>29 鉱業、採石業又は砂利採取業用設備</v>
      </c>
      <c r="E38" s="100" t="s">
        <v>216</v>
      </c>
      <c r="F38" s="9" t="s">
        <v>283</v>
      </c>
      <c r="G38" s="100" t="str">
        <v>９　娯楽又はスポーツ器具及び興行又は演劇用具</v>
      </c>
      <c r="H38" s="100"/>
      <c r="I38" s="9" t="s">
        <v>217</v>
      </c>
      <c r="J38" s="9" t="s">
        <v>282</v>
      </c>
      <c r="K38" s="9" t="str">
        <f t="shared" si="0"/>
        <v>建物_金属造のもの（骨格材の肉厚が四ミリメートルを超えるものに限る。）</v>
      </c>
      <c r="L38" s="100" t="s">
        <v>266</v>
      </c>
      <c r="M38" s="100" t="s">
        <v>216</v>
      </c>
      <c r="N38" s="100" t="s">
        <v>220</v>
      </c>
      <c r="O38" s="100" t="s">
        <v>217</v>
      </c>
      <c r="P38" s="100" t="s">
        <v>282</v>
      </c>
      <c r="Q38" s="100" t="s">
        <v>266</v>
      </c>
      <c r="R38" s="9" t="str">
        <f t="shared" si="1"/>
        <v>建物_金属造のもの（骨格材の肉厚が四ミリメートルを超えるものに限る。）_工場（作業場を含む。）用又は倉庫用のもの　その他のもの　倉庫事業の倉庫用のもの　その他のもの</v>
      </c>
      <c r="S38" s="100">
        <v>26</v>
      </c>
      <c r="AC38" s="9">
        <v>2</v>
      </c>
      <c r="AD38" s="1">
        <v>4</v>
      </c>
      <c r="AG38" s="1">
        <v>37</v>
      </c>
      <c r="AH38" s="1">
        <v>5.3999999999999999E-2</v>
      </c>
      <c r="AI38" s="1">
        <v>2.8000000000000001E-2</v>
      </c>
      <c r="AJ38" s="1">
        <v>5.6000000000000001E-2</v>
      </c>
      <c r="AK38" s="1">
        <v>1.95E-2</v>
      </c>
    </row>
    <row r="39" spans="3:37">
      <c r="C39" s="9" t="s">
        <v>221</v>
      </c>
      <c r="D39" s="100" t="str">
        <v>30 総合工事業用設備</v>
      </c>
      <c r="E39" s="100" t="s">
        <v>216</v>
      </c>
      <c r="F39" s="9" t="s">
        <v>283</v>
      </c>
      <c r="G39" s="100" t="str">
        <v>１０　生物</v>
      </c>
      <c r="H39" s="100"/>
      <c r="I39" s="9" t="s">
        <v>217</v>
      </c>
      <c r="J39" s="9" t="s">
        <v>282</v>
      </c>
      <c r="K39" s="9" t="str">
        <f t="shared" si="0"/>
        <v>建物_金属造のもの（骨格材の肉厚が四ミリメートルを超えるものに限る。）</v>
      </c>
      <c r="L39" s="100" t="s">
        <v>268</v>
      </c>
      <c r="M39" s="100" t="s">
        <v>216</v>
      </c>
      <c r="N39" s="100" t="s">
        <v>220</v>
      </c>
      <c r="O39" s="100" t="s">
        <v>217</v>
      </c>
      <c r="P39" s="100" t="s">
        <v>282</v>
      </c>
      <c r="Q39" s="100" t="s">
        <v>268</v>
      </c>
      <c r="R39" s="9" t="str">
        <f t="shared" si="1"/>
        <v>建物_金属造のもの（骨格材の肉厚が四ミリメートルを超えるものに限る。）_工場（作業場を含む。）用又は倉庫用のもの　その他のもの　その他のもの</v>
      </c>
      <c r="S39" s="100">
        <v>31</v>
      </c>
      <c r="AC39" s="9">
        <v>2</v>
      </c>
      <c r="AD39" s="1">
        <v>5</v>
      </c>
      <c r="AG39" s="1">
        <v>38</v>
      </c>
      <c r="AH39" s="1">
        <v>5.2999999999999999E-2</v>
      </c>
      <c r="AI39" s="1">
        <v>2.7E-2</v>
      </c>
      <c r="AJ39" s="1">
        <v>5.6000000000000001E-2</v>
      </c>
      <c r="AK39" s="1">
        <v>1.882E-2</v>
      </c>
    </row>
    <row r="40" spans="3:37">
      <c r="C40" s="9" t="s">
        <v>221</v>
      </c>
      <c r="D40" s="100" t="str">
        <v>31 電気業用設備</v>
      </c>
      <c r="E40" s="100" t="s">
        <v>216</v>
      </c>
      <c r="F40" s="9" t="s">
        <v>283</v>
      </c>
      <c r="G40" s="100" t="str">
        <v>１１　前掲のもの以外のもの</v>
      </c>
      <c r="H40" s="100"/>
      <c r="I40" s="9" t="s">
        <v>217</v>
      </c>
      <c r="J40" s="100" t="s">
        <v>285</v>
      </c>
      <c r="K40" s="9" t="str">
        <f t="shared" si="0"/>
        <v>建物_金属造のもの（骨格材の肉厚が三ミリメートルを超え四ミリメートル以下のものに限る。）</v>
      </c>
      <c r="L40" s="100" t="s">
        <v>219</v>
      </c>
      <c r="M40" s="100" t="s">
        <v>216</v>
      </c>
      <c r="N40" s="100" t="s">
        <v>220</v>
      </c>
      <c r="O40" s="100" t="s">
        <v>217</v>
      </c>
      <c r="P40" s="100" t="s">
        <v>285</v>
      </c>
      <c r="Q40" s="100" t="s">
        <v>219</v>
      </c>
      <c r="R40" s="9" t="str">
        <f t="shared" si="1"/>
        <v>建物_金属造のもの（骨格材の肉厚が三ミリメートルを超え四ミリメートル以下のものに限る。）_事務所用又は美術館用のもの及び左記以外のもの</v>
      </c>
      <c r="S40" s="100">
        <v>30</v>
      </c>
      <c r="AC40" s="9">
        <v>2</v>
      </c>
      <c r="AD40" s="1">
        <v>6</v>
      </c>
      <c r="AG40" s="1">
        <v>39</v>
      </c>
      <c r="AH40" s="1">
        <v>5.0999999999999997E-2</v>
      </c>
      <c r="AI40" s="1">
        <v>2.5999999999999999E-2</v>
      </c>
      <c r="AJ40" s="1">
        <v>5.2999999999999999E-2</v>
      </c>
      <c r="AK40" s="1">
        <v>1.8599999999999998E-2</v>
      </c>
    </row>
    <row r="41" spans="3:37">
      <c r="C41" s="9" t="s">
        <v>221</v>
      </c>
      <c r="D41" s="100" t="str">
        <v>32 ガス業用設備</v>
      </c>
      <c r="E41" s="100" t="s">
        <v>216</v>
      </c>
      <c r="F41" s="9" t="s">
        <v>283</v>
      </c>
      <c r="G41" s="100" t="str">
        <v>１２　前掲する資産のうち、当該資産について定められている前掲の耐用年数によるもの以外のもの及び前掲の区分によらないもの</v>
      </c>
      <c r="H41" s="100"/>
      <c r="I41" s="9" t="s">
        <v>217</v>
      </c>
      <c r="J41" s="9" t="s">
        <v>285</v>
      </c>
      <c r="K41" s="9" t="str">
        <f t="shared" si="0"/>
        <v>建物_金属造のもの（骨格材の肉厚が三ミリメートルを超え四ミリメートル以下のものに限る。）</v>
      </c>
      <c r="L41" s="100" t="s">
        <v>272</v>
      </c>
      <c r="M41" s="100" t="s">
        <v>216</v>
      </c>
      <c r="N41" s="100" t="s">
        <v>220</v>
      </c>
      <c r="O41" s="100" t="s">
        <v>217</v>
      </c>
      <c r="P41" s="100" t="s">
        <v>285</v>
      </c>
      <c r="Q41" s="100" t="s">
        <v>272</v>
      </c>
      <c r="R41" s="9" t="str">
        <f t="shared" si="1"/>
        <v>建物_金属造のもの（骨格材の肉厚が三ミリメートルを超え四ミリメートル以下のものに限る。）_店舗用、住宅用、寄宿舎用、宿泊所用、学校用又は体育館用のもの</v>
      </c>
      <c r="S41" s="100">
        <v>27</v>
      </c>
      <c r="AC41" s="9">
        <v>2</v>
      </c>
      <c r="AD41" s="1">
        <v>7</v>
      </c>
      <c r="AG41" s="1">
        <v>40</v>
      </c>
      <c r="AH41" s="1">
        <v>0.05</v>
      </c>
      <c r="AI41" s="1">
        <v>2.5000000000000001E-2</v>
      </c>
      <c r="AJ41" s="1">
        <v>5.2999999999999999E-2</v>
      </c>
      <c r="AK41" s="1">
        <v>1.7909999999999999E-2</v>
      </c>
    </row>
    <row r="42" spans="3:37">
      <c r="C42" s="9" t="s">
        <v>221</v>
      </c>
      <c r="D42" s="100" t="str">
        <v>33 熱供給業用設備</v>
      </c>
      <c r="E42" s="100" t="s">
        <v>216</v>
      </c>
      <c r="F42" s="100"/>
      <c r="G42" s="100"/>
      <c r="H42" s="100"/>
      <c r="I42" s="9" t="s">
        <v>217</v>
      </c>
      <c r="J42" s="9" t="s">
        <v>285</v>
      </c>
      <c r="K42" s="9" t="str">
        <f t="shared" si="0"/>
        <v>建物_金属造のもの（骨格材の肉厚が三ミリメートルを超え四ミリメートル以下のものに限る。）</v>
      </c>
      <c r="L42" s="100" t="s">
        <v>274</v>
      </c>
      <c r="M42" s="100" t="s">
        <v>216</v>
      </c>
      <c r="N42" s="100" t="s">
        <v>220</v>
      </c>
      <c r="O42" s="100" t="s">
        <v>217</v>
      </c>
      <c r="P42" s="100" t="s">
        <v>285</v>
      </c>
      <c r="Q42" s="100" t="s">
        <v>274</v>
      </c>
      <c r="R42" s="9" t="str">
        <f t="shared" si="1"/>
        <v>建物_金属造のもの（骨格材の肉厚が三ミリメートルを超え四ミリメートル以下のものに限る。）_飲食店用、貸席用、劇場用、演奏場用、映画館用又は舞踏場用のもの</v>
      </c>
      <c r="S42" s="100">
        <v>25</v>
      </c>
      <c r="AC42" s="9">
        <v>2</v>
      </c>
      <c r="AD42" s="1">
        <v>8</v>
      </c>
      <c r="AG42" s="1">
        <v>41</v>
      </c>
      <c r="AH42" s="1">
        <v>4.9000000000000002E-2</v>
      </c>
      <c r="AI42" s="1">
        <v>2.5000000000000001E-2</v>
      </c>
      <c r="AJ42" s="1">
        <v>0.05</v>
      </c>
      <c r="AK42" s="1">
        <v>1.7409999999999998E-2</v>
      </c>
    </row>
    <row r="43" spans="3:37">
      <c r="C43" s="9" t="s">
        <v>221</v>
      </c>
      <c r="D43" s="100" t="str">
        <v>34 水道業用設備</v>
      </c>
      <c r="E43" s="100" t="s">
        <v>216</v>
      </c>
      <c r="F43" s="100"/>
      <c r="G43" s="100"/>
      <c r="H43" s="100"/>
      <c r="I43" s="9" t="s">
        <v>217</v>
      </c>
      <c r="J43" s="9" t="s">
        <v>285</v>
      </c>
      <c r="K43" s="9" t="str">
        <f t="shared" si="0"/>
        <v>建物_金属造のもの（骨格材の肉厚が三ミリメートルを超え四ミリメートル以下のものに限る。）</v>
      </c>
      <c r="L43" s="100" t="s">
        <v>254</v>
      </c>
      <c r="M43" s="100" t="s">
        <v>216</v>
      </c>
      <c r="N43" s="100" t="s">
        <v>220</v>
      </c>
      <c r="O43" s="100" t="s">
        <v>217</v>
      </c>
      <c r="P43" s="100" t="s">
        <v>285</v>
      </c>
      <c r="Q43" s="100" t="s">
        <v>254</v>
      </c>
      <c r="R43" s="9" t="str">
        <f t="shared" si="1"/>
        <v>建物_金属造のもの（骨格材の肉厚が三ミリメートルを超え四ミリメートル以下のものに限る。）_変電所用、発電所用、送受信所用、停車場用、車庫用、格納庫用、荷扱所用、映画製作ステージ用、屋内スケート場用、魚市場用又はと畜場用のもの</v>
      </c>
      <c r="S43" s="100">
        <v>25</v>
      </c>
      <c r="AC43" s="9">
        <v>2</v>
      </c>
      <c r="AD43" s="1">
        <v>9</v>
      </c>
      <c r="AG43" s="1">
        <v>42</v>
      </c>
      <c r="AH43" s="1">
        <v>4.8000000000000001E-2</v>
      </c>
      <c r="AI43" s="1">
        <v>2.4E-2</v>
      </c>
      <c r="AJ43" s="1">
        <v>0.05</v>
      </c>
      <c r="AK43" s="1">
        <v>1.694E-2</v>
      </c>
    </row>
    <row r="44" spans="3:37">
      <c r="C44" s="9" t="s">
        <v>221</v>
      </c>
      <c r="D44" s="100" t="str">
        <v>35 通信業用設備</v>
      </c>
      <c r="E44" s="100" t="s">
        <v>216</v>
      </c>
      <c r="F44" s="100"/>
      <c r="G44" s="100"/>
      <c r="H44" s="100"/>
      <c r="I44" s="9" t="s">
        <v>217</v>
      </c>
      <c r="J44" s="9" t="s">
        <v>285</v>
      </c>
      <c r="K44" s="9" t="str">
        <f t="shared" si="0"/>
        <v>建物_金属造のもの（骨格材の肉厚が三ミリメートルを超え四ミリメートル以下のものに限る。）</v>
      </c>
      <c r="L44" s="100" t="s">
        <v>278</v>
      </c>
      <c r="M44" s="100" t="s">
        <v>216</v>
      </c>
      <c r="N44" s="100" t="s">
        <v>220</v>
      </c>
      <c r="O44" s="100" t="s">
        <v>217</v>
      </c>
      <c r="P44" s="100" t="s">
        <v>285</v>
      </c>
      <c r="Q44" s="100" t="s">
        <v>278</v>
      </c>
      <c r="R44" s="9" t="str">
        <f t="shared" si="1"/>
        <v>建物_金属造のもの（骨格材の肉厚が三ミリメートルを超え四ミリメートル以下のものに限る。）_旅館用、ホテル用又は病院用のもの</v>
      </c>
      <c r="S44" s="100">
        <v>24</v>
      </c>
      <c r="AC44" s="9">
        <v>2</v>
      </c>
      <c r="AD44" s="1">
        <v>10</v>
      </c>
      <c r="AG44" s="1">
        <v>43</v>
      </c>
      <c r="AH44" s="1">
        <v>4.7E-2</v>
      </c>
      <c r="AI44" s="1">
        <v>2.4E-2</v>
      </c>
      <c r="AJ44" s="1">
        <v>4.8000000000000001E-2</v>
      </c>
      <c r="AK44" s="1">
        <v>1.6639999999999999E-2</v>
      </c>
    </row>
    <row r="45" spans="3:37">
      <c r="C45" s="9" t="s">
        <v>221</v>
      </c>
      <c r="D45" s="100" t="str">
        <v>36 放送業用設備</v>
      </c>
      <c r="E45" s="100" t="s">
        <v>216</v>
      </c>
      <c r="F45" s="100"/>
      <c r="G45" s="100"/>
      <c r="H45" s="100"/>
      <c r="I45" s="9" t="s">
        <v>217</v>
      </c>
      <c r="J45" s="9" t="s">
        <v>285</v>
      </c>
      <c r="K45" s="9" t="str">
        <f t="shared" si="0"/>
        <v>建物_金属造のもの（骨格材の肉厚が三ミリメートルを超え四ミリメートル以下のものに限る。）</v>
      </c>
      <c r="L45" s="100" t="s">
        <v>258</v>
      </c>
      <c r="M45" s="100" t="s">
        <v>216</v>
      </c>
      <c r="N45" s="100" t="s">
        <v>220</v>
      </c>
      <c r="O45" s="100" t="s">
        <v>217</v>
      </c>
      <c r="P45" s="100" t="s">
        <v>285</v>
      </c>
      <c r="Q45" s="100" t="s">
        <v>258</v>
      </c>
      <c r="R45" s="9" t="str">
        <f t="shared" si="1"/>
        <v>建物_金属造のもの（骨格材の肉厚が三ミリメートルを超え四ミリメートル以下のものに限る。）_公衆浴場用のもの</v>
      </c>
      <c r="S45" s="100">
        <v>19</v>
      </c>
      <c r="AC45" s="9">
        <v>2</v>
      </c>
      <c r="AD45" s="1">
        <v>11</v>
      </c>
      <c r="AG45" s="1">
        <v>44</v>
      </c>
      <c r="AH45" s="1">
        <v>4.4999999999999998E-2</v>
      </c>
      <c r="AI45" s="1">
        <v>2.3E-2</v>
      </c>
      <c r="AJ45" s="1">
        <v>4.5999999999999999E-2</v>
      </c>
      <c r="AK45" s="1">
        <v>1.6639999999999999E-2</v>
      </c>
    </row>
    <row r="46" spans="3:37">
      <c r="C46" s="9" t="s">
        <v>221</v>
      </c>
      <c r="D46" s="100" t="str">
        <v>37 映像、音声又は文字情報制作業用設備</v>
      </c>
      <c r="E46" s="100" t="s">
        <v>216</v>
      </c>
      <c r="F46" s="100"/>
      <c r="G46" s="100"/>
      <c r="H46" s="100"/>
      <c r="I46" s="9" t="s">
        <v>217</v>
      </c>
      <c r="J46" s="9" t="s">
        <v>285</v>
      </c>
      <c r="K46" s="9" t="str">
        <f t="shared" si="0"/>
        <v>建物_金属造のもの（骨格材の肉厚が三ミリメートルを超え四ミリメートル以下のものに限る。）</v>
      </c>
      <c r="L46" s="100" t="s">
        <v>286</v>
      </c>
      <c r="M46" s="100" t="s">
        <v>216</v>
      </c>
      <c r="N46" s="100" t="s">
        <v>220</v>
      </c>
      <c r="O46" s="100" t="s">
        <v>217</v>
      </c>
      <c r="P46" s="100" t="s">
        <v>285</v>
      </c>
      <c r="Q46" s="100" t="s">
        <v>286</v>
      </c>
      <c r="R46" s="9" t="str">
        <f t="shared" si="1"/>
        <v>建物_金属造のもの（骨格材の肉厚が三ミリメートルを超え四ミリメートル以下のものに限る。）_工場（作業場を含む。）用又は倉庫用のもの　塩素、塩酸、硫酸、硝酸その他の著しい腐食性を有する液体又は気体の影響を直接全面的に受けるもの及び冷蔵倉庫用のもの</v>
      </c>
      <c r="S46" s="100">
        <v>15</v>
      </c>
      <c r="AC46" s="9">
        <v>2</v>
      </c>
      <c r="AD46" s="1">
        <v>12</v>
      </c>
      <c r="AG46" s="1">
        <v>45</v>
      </c>
      <c r="AH46" s="1">
        <v>4.3999999999999997E-2</v>
      </c>
      <c r="AI46" s="1">
        <v>2.3E-2</v>
      </c>
      <c r="AJ46" s="1">
        <v>4.5999999999999999E-2</v>
      </c>
      <c r="AK46" s="1">
        <v>1.634E-2</v>
      </c>
    </row>
    <row r="47" spans="3:37">
      <c r="C47" s="9" t="s">
        <v>221</v>
      </c>
      <c r="D47" s="100" t="str">
        <v>38 鉄道業用設備</v>
      </c>
      <c r="E47" s="100" t="s">
        <v>216</v>
      </c>
      <c r="F47" s="100"/>
      <c r="G47" s="100"/>
      <c r="H47" s="100"/>
      <c r="I47" s="9" t="s">
        <v>217</v>
      </c>
      <c r="J47" s="9" t="s">
        <v>285</v>
      </c>
      <c r="K47" s="9" t="str">
        <f t="shared" si="0"/>
        <v>建物_金属造のもの（骨格材の肉厚が三ミリメートルを超え四ミリメートル以下のものに限る。）</v>
      </c>
      <c r="L47" s="100" t="s">
        <v>262</v>
      </c>
      <c r="M47" s="100" t="s">
        <v>216</v>
      </c>
      <c r="N47" s="100" t="s">
        <v>220</v>
      </c>
      <c r="O47" s="100" t="s">
        <v>217</v>
      </c>
      <c r="P47" s="100" t="s">
        <v>285</v>
      </c>
      <c r="Q47" s="100" t="s">
        <v>262</v>
      </c>
      <c r="R47" s="9" t="str">
        <f t="shared" si="1"/>
        <v>建物_金属造のもの（骨格材の肉厚が三ミリメートルを超え四ミリメートル以下のものに限る。）_工場（作業場を含む。）用又は倉庫用のもの　塩、チリ硝石その他の著しい潮解性を有する固体を常時蔵置するためのもの及び著しい蒸気の影響を直接全面的に受けるもの</v>
      </c>
      <c r="S47" s="100">
        <v>19</v>
      </c>
      <c r="AC47" s="9">
        <v>2</v>
      </c>
      <c r="AD47" s="1">
        <v>13</v>
      </c>
      <c r="AG47" s="1">
        <v>46</v>
      </c>
      <c r="AH47" s="1">
        <v>4.2999999999999997E-2</v>
      </c>
      <c r="AI47" s="1">
        <v>2.1999999999999999E-2</v>
      </c>
      <c r="AJ47" s="1">
        <v>4.3999999999999997E-2</v>
      </c>
      <c r="AK47" s="1">
        <v>1.601E-2</v>
      </c>
    </row>
    <row r="48" spans="3:37">
      <c r="C48" s="9" t="s">
        <v>221</v>
      </c>
      <c r="D48" s="100" t="str">
        <v>39 道路貨物運送業用設備</v>
      </c>
      <c r="E48" s="100" t="s">
        <v>216</v>
      </c>
      <c r="F48" s="100"/>
      <c r="G48" s="100"/>
      <c r="H48" s="100"/>
      <c r="I48" s="9" t="s">
        <v>217</v>
      </c>
      <c r="J48" s="9" t="s">
        <v>285</v>
      </c>
      <c r="K48" s="9" t="str">
        <f t="shared" si="0"/>
        <v>建物_金属造のもの（骨格材の肉厚が三ミリメートルを超え四ミリメートル以下のものに限る。）</v>
      </c>
      <c r="L48" s="100" t="s">
        <v>287</v>
      </c>
      <c r="M48" s="100" t="s">
        <v>216</v>
      </c>
      <c r="N48" s="100" t="s">
        <v>220</v>
      </c>
      <c r="O48" s="100" t="s">
        <v>217</v>
      </c>
      <c r="P48" s="100" t="s">
        <v>285</v>
      </c>
      <c r="Q48" s="100" t="s">
        <v>287</v>
      </c>
      <c r="R48" s="9" t="str">
        <f t="shared" si="1"/>
        <v>建物_金属造のもの（骨格材の肉厚が三ミリメートルを超え四ミリメートル以下のものに限る。）_工場（作業場を含む。）用又は倉庫用のもの　その他のもの</v>
      </c>
      <c r="S48" s="100">
        <v>24</v>
      </c>
      <c r="AC48" s="9">
        <v>2</v>
      </c>
      <c r="AD48" s="1">
        <v>14</v>
      </c>
      <c r="AG48" s="1">
        <v>47</v>
      </c>
      <c r="AH48" s="1">
        <v>4.2999999999999997E-2</v>
      </c>
      <c r="AI48" s="1">
        <v>2.1999999999999999E-2</v>
      </c>
      <c r="AJ48" s="1">
        <v>4.3999999999999997E-2</v>
      </c>
      <c r="AK48" s="1">
        <v>1.532E-2</v>
      </c>
    </row>
    <row r="49" spans="3:37">
      <c r="C49" s="9" t="s">
        <v>221</v>
      </c>
      <c r="D49" s="100" t="str">
        <v>40 倉庫業用設備</v>
      </c>
      <c r="E49" s="100" t="s">
        <v>216</v>
      </c>
      <c r="F49" s="100"/>
      <c r="G49" s="100"/>
      <c r="H49" s="100"/>
      <c r="I49" s="9" t="s">
        <v>217</v>
      </c>
      <c r="J49" s="100" t="s">
        <v>288</v>
      </c>
      <c r="K49" s="9" t="str">
        <f t="shared" si="0"/>
        <v>建物_金属造のもの（骨格材の肉厚が三ミリメートル以下のものに限る。）</v>
      </c>
      <c r="L49" s="100" t="s">
        <v>219</v>
      </c>
      <c r="M49" s="100" t="s">
        <v>216</v>
      </c>
      <c r="N49" s="100" t="s">
        <v>220</v>
      </c>
      <c r="O49" s="100" t="s">
        <v>217</v>
      </c>
      <c r="P49" s="100" t="s">
        <v>288</v>
      </c>
      <c r="Q49" s="100" t="s">
        <v>219</v>
      </c>
      <c r="R49" s="9" t="str">
        <f t="shared" si="1"/>
        <v>建物_金属造のもの（骨格材の肉厚が三ミリメートル以下のものに限る。）_事務所用又は美術館用のもの及び左記以外のもの</v>
      </c>
      <c r="S49" s="100">
        <v>22</v>
      </c>
      <c r="AC49" s="9">
        <v>2</v>
      </c>
      <c r="AD49" s="1">
        <v>15</v>
      </c>
      <c r="AG49" s="1">
        <v>48</v>
      </c>
      <c r="AH49" s="1">
        <v>4.2000000000000003E-2</v>
      </c>
      <c r="AI49" s="1">
        <v>2.1000000000000001E-2</v>
      </c>
      <c r="AJ49" s="1">
        <v>4.3999999999999997E-2</v>
      </c>
      <c r="AK49" s="1">
        <v>1.499E-2</v>
      </c>
    </row>
    <row r="50" spans="3:37">
      <c r="C50" s="9" t="s">
        <v>221</v>
      </c>
      <c r="D50" s="100" t="str">
        <v>41 運輸に附帯するサービス業用設備</v>
      </c>
      <c r="E50" s="100" t="s">
        <v>216</v>
      </c>
      <c r="F50" s="100"/>
      <c r="G50" s="100"/>
      <c r="H50" s="100"/>
      <c r="I50" s="9" t="s">
        <v>217</v>
      </c>
      <c r="J50" s="9" t="s">
        <v>288</v>
      </c>
      <c r="K50" s="9" t="str">
        <f t="shared" si="0"/>
        <v>建物_金属造のもの（骨格材の肉厚が三ミリメートル以下のものに限る。）</v>
      </c>
      <c r="L50" s="100" t="s">
        <v>272</v>
      </c>
      <c r="M50" s="100" t="s">
        <v>216</v>
      </c>
      <c r="N50" s="100" t="s">
        <v>220</v>
      </c>
      <c r="O50" s="100" t="s">
        <v>217</v>
      </c>
      <c r="P50" s="100" t="s">
        <v>288</v>
      </c>
      <c r="Q50" s="100" t="s">
        <v>272</v>
      </c>
      <c r="R50" s="9" t="str">
        <f t="shared" si="1"/>
        <v>建物_金属造のもの（骨格材の肉厚が三ミリメートル以下のものに限る。）_店舗用、住宅用、寄宿舎用、宿泊所用、学校用又は体育館用のもの</v>
      </c>
      <c r="S50" s="100">
        <v>19</v>
      </c>
      <c r="AC50" s="9">
        <v>2</v>
      </c>
      <c r="AD50" s="1">
        <v>16</v>
      </c>
      <c r="AG50" s="1">
        <v>49</v>
      </c>
      <c r="AH50" s="1">
        <v>4.1000000000000002E-2</v>
      </c>
      <c r="AI50" s="1">
        <v>2.1000000000000001E-2</v>
      </c>
      <c r="AJ50" s="1">
        <v>4.2000000000000003E-2</v>
      </c>
      <c r="AK50" s="1">
        <v>1.4749999999999999E-2</v>
      </c>
    </row>
    <row r="51" spans="3:37">
      <c r="C51" s="9" t="s">
        <v>221</v>
      </c>
      <c r="D51" s="100" t="str">
        <v>42 飲食料品卸売業用設備</v>
      </c>
      <c r="E51" s="100" t="s">
        <v>216</v>
      </c>
      <c r="F51" s="100"/>
      <c r="G51" s="100"/>
      <c r="H51" s="100"/>
      <c r="I51" s="9" t="s">
        <v>217</v>
      </c>
      <c r="J51" s="9" t="s">
        <v>288</v>
      </c>
      <c r="K51" s="9" t="str">
        <f t="shared" si="0"/>
        <v>建物_金属造のもの（骨格材の肉厚が三ミリメートル以下のものに限る。）</v>
      </c>
      <c r="L51" s="100" t="s">
        <v>274</v>
      </c>
      <c r="M51" s="100" t="s">
        <v>216</v>
      </c>
      <c r="N51" s="100" t="s">
        <v>220</v>
      </c>
      <c r="O51" s="100" t="s">
        <v>217</v>
      </c>
      <c r="P51" s="100" t="s">
        <v>288</v>
      </c>
      <c r="Q51" s="100" t="s">
        <v>274</v>
      </c>
      <c r="R51" s="9" t="str">
        <f t="shared" si="1"/>
        <v>建物_金属造のもの（骨格材の肉厚が三ミリメートル以下のものに限る。）_飲食店用、貸席用、劇場用、演奏場用、映画館用又は舞踏場用のもの</v>
      </c>
      <c r="S51" s="100">
        <v>19</v>
      </c>
      <c r="AC51" s="9">
        <v>2</v>
      </c>
      <c r="AD51" s="1">
        <v>17</v>
      </c>
      <c r="AG51" s="1">
        <v>50</v>
      </c>
      <c r="AH51" s="1">
        <v>0.04</v>
      </c>
      <c r="AI51" s="1">
        <v>0.02</v>
      </c>
      <c r="AJ51" s="1">
        <v>4.2000000000000003E-2</v>
      </c>
      <c r="AK51" s="1">
        <v>1.44E-2</v>
      </c>
    </row>
    <row r="52" spans="3:37">
      <c r="C52" s="9" t="s">
        <v>221</v>
      </c>
      <c r="D52" s="100" t="str">
        <v>43 建築材料、鉱物又は金属材料等卸売業用設備</v>
      </c>
      <c r="E52" s="100" t="s">
        <v>216</v>
      </c>
      <c r="F52" s="100"/>
      <c r="G52" s="100"/>
      <c r="H52" s="100"/>
      <c r="I52" s="9" t="s">
        <v>217</v>
      </c>
      <c r="J52" s="9" t="s">
        <v>288</v>
      </c>
      <c r="K52" s="9" t="str">
        <f t="shared" si="0"/>
        <v>建物_金属造のもの（骨格材の肉厚が三ミリメートル以下のものに限る。）</v>
      </c>
      <c r="L52" s="100" t="s">
        <v>254</v>
      </c>
      <c r="M52" s="100" t="s">
        <v>216</v>
      </c>
      <c r="N52" s="100" t="s">
        <v>220</v>
      </c>
      <c r="O52" s="100" t="s">
        <v>217</v>
      </c>
      <c r="P52" s="100" t="s">
        <v>288</v>
      </c>
      <c r="Q52" s="100" t="s">
        <v>254</v>
      </c>
      <c r="R52" s="9" t="str">
        <f t="shared" si="1"/>
        <v>建物_金属造のもの（骨格材の肉厚が三ミリメートル以下のものに限る。）_変電所用、発電所用、送受信所用、停車場用、車庫用、格納庫用、荷扱所用、映画製作ステージ用、屋内スケート場用、魚市場用又はと畜場用のもの</v>
      </c>
      <c r="S52" s="100">
        <v>19</v>
      </c>
      <c r="AC52" s="9">
        <v>2</v>
      </c>
      <c r="AD52" s="1">
        <v>18</v>
      </c>
      <c r="AG52" s="1">
        <v>51</v>
      </c>
      <c r="AH52" s="1">
        <v>3.9E-2</v>
      </c>
      <c r="AI52" s="1">
        <v>0.02</v>
      </c>
    </row>
    <row r="53" spans="3:37">
      <c r="C53" s="9" t="s">
        <v>221</v>
      </c>
      <c r="D53" s="100" t="str">
        <v>44 飲食料品小売業用設備</v>
      </c>
      <c r="E53" s="100" t="s">
        <v>216</v>
      </c>
      <c r="F53" s="100"/>
      <c r="G53" s="100"/>
      <c r="H53" s="100"/>
      <c r="I53" s="9" t="s">
        <v>217</v>
      </c>
      <c r="J53" s="9" t="s">
        <v>288</v>
      </c>
      <c r="K53" s="9" t="str">
        <f t="shared" si="0"/>
        <v>建物_金属造のもの（骨格材の肉厚が三ミリメートル以下のものに限る。）</v>
      </c>
      <c r="L53" s="100" t="s">
        <v>278</v>
      </c>
      <c r="M53" s="100" t="s">
        <v>216</v>
      </c>
      <c r="N53" s="100" t="s">
        <v>220</v>
      </c>
      <c r="O53" s="100" t="s">
        <v>217</v>
      </c>
      <c r="P53" s="100" t="s">
        <v>288</v>
      </c>
      <c r="Q53" s="100" t="s">
        <v>278</v>
      </c>
      <c r="R53" s="9" t="str">
        <f t="shared" si="1"/>
        <v>建物_金属造のもの（骨格材の肉厚が三ミリメートル以下のものに限る。）_旅館用、ホテル用又は病院用のもの</v>
      </c>
      <c r="S53" s="100">
        <v>17</v>
      </c>
      <c r="AC53" s="9">
        <v>2</v>
      </c>
      <c r="AD53" s="1">
        <v>19</v>
      </c>
      <c r="AG53" s="1">
        <v>52</v>
      </c>
      <c r="AH53" s="1">
        <v>3.7999999999999999E-2</v>
      </c>
      <c r="AI53" s="1">
        <v>0.02</v>
      </c>
    </row>
    <row r="54" spans="3:37">
      <c r="C54" s="9" t="s">
        <v>221</v>
      </c>
      <c r="D54" s="100" t="str">
        <v>45 その他の小売業用設備</v>
      </c>
      <c r="E54" s="100" t="s">
        <v>216</v>
      </c>
      <c r="F54" s="100"/>
      <c r="G54" s="100"/>
      <c r="H54" s="100"/>
      <c r="I54" s="9" t="s">
        <v>217</v>
      </c>
      <c r="J54" s="9" t="s">
        <v>288</v>
      </c>
      <c r="K54" s="9" t="str">
        <f t="shared" si="0"/>
        <v>建物_金属造のもの（骨格材の肉厚が三ミリメートル以下のものに限る。）</v>
      </c>
      <c r="L54" s="100" t="s">
        <v>258</v>
      </c>
      <c r="M54" s="100" t="s">
        <v>216</v>
      </c>
      <c r="N54" s="100" t="s">
        <v>220</v>
      </c>
      <c r="O54" s="100" t="s">
        <v>217</v>
      </c>
      <c r="P54" s="100" t="s">
        <v>288</v>
      </c>
      <c r="Q54" s="100" t="s">
        <v>258</v>
      </c>
      <c r="R54" s="9" t="str">
        <f t="shared" si="1"/>
        <v>建物_金属造のもの（骨格材の肉厚が三ミリメートル以下のものに限る。）_公衆浴場用のもの</v>
      </c>
      <c r="S54" s="100">
        <v>15</v>
      </c>
      <c r="AC54" s="9">
        <v>2</v>
      </c>
      <c r="AD54" s="1">
        <v>20</v>
      </c>
      <c r="AG54" s="1">
        <v>53</v>
      </c>
      <c r="AH54" s="1">
        <v>3.7999999999999999E-2</v>
      </c>
      <c r="AI54" s="1">
        <v>1.9E-2</v>
      </c>
    </row>
    <row r="55" spans="3:37">
      <c r="C55" s="9" t="s">
        <v>221</v>
      </c>
      <c r="D55" s="100" t="str">
        <v>46 技術サービス業用設備（他の号に掲げるものを除く。）</v>
      </c>
      <c r="E55" s="100" t="s">
        <v>216</v>
      </c>
      <c r="F55" s="100"/>
      <c r="G55" s="100"/>
      <c r="H55" s="100"/>
      <c r="I55" s="9" t="s">
        <v>217</v>
      </c>
      <c r="J55" s="9" t="s">
        <v>288</v>
      </c>
      <c r="K55" s="9" t="str">
        <f t="shared" si="0"/>
        <v>建物_金属造のもの（骨格材の肉厚が三ミリメートル以下のものに限る。）</v>
      </c>
      <c r="L55" s="100" t="s">
        <v>286</v>
      </c>
      <c r="M55" s="100" t="s">
        <v>216</v>
      </c>
      <c r="N55" s="100" t="s">
        <v>220</v>
      </c>
      <c r="O55" s="100" t="s">
        <v>217</v>
      </c>
      <c r="P55" s="100" t="s">
        <v>288</v>
      </c>
      <c r="Q55" s="100" t="s">
        <v>286</v>
      </c>
      <c r="R55" s="9" t="str">
        <f t="shared" si="1"/>
        <v>建物_金属造のもの（骨格材の肉厚が三ミリメートル以下のものに限る。）_工場（作業場を含む。）用又は倉庫用のもの　塩素、塩酸、硫酸、硝酸その他の著しい腐食性を有する液体又は気体の影響を直接全面的に受けるもの及び冷蔵倉庫用のもの</v>
      </c>
      <c r="S55" s="100">
        <v>12</v>
      </c>
      <c r="AC55" s="9">
        <v>2</v>
      </c>
      <c r="AD55" s="1">
        <v>21</v>
      </c>
      <c r="AG55" s="1">
        <v>54</v>
      </c>
      <c r="AH55" s="1">
        <v>3.6999999999999998E-2</v>
      </c>
      <c r="AI55" s="1">
        <v>1.9E-2</v>
      </c>
    </row>
    <row r="56" spans="3:37">
      <c r="C56" s="9" t="s">
        <v>221</v>
      </c>
      <c r="D56" s="100" t="str">
        <v>47 宿泊業用設備</v>
      </c>
      <c r="E56" s="100" t="s">
        <v>216</v>
      </c>
      <c r="F56" s="100"/>
      <c r="G56" s="100"/>
      <c r="H56" s="100"/>
      <c r="I56" s="9" t="s">
        <v>217</v>
      </c>
      <c r="J56" s="9" t="s">
        <v>288</v>
      </c>
      <c r="K56" s="9" t="str">
        <f t="shared" si="0"/>
        <v>建物_金属造のもの（骨格材の肉厚が三ミリメートル以下のものに限る。）</v>
      </c>
      <c r="L56" s="100" t="s">
        <v>262</v>
      </c>
      <c r="M56" s="100" t="s">
        <v>216</v>
      </c>
      <c r="N56" s="100" t="s">
        <v>220</v>
      </c>
      <c r="O56" s="100" t="s">
        <v>217</v>
      </c>
      <c r="P56" s="100" t="s">
        <v>288</v>
      </c>
      <c r="Q56" s="100" t="s">
        <v>262</v>
      </c>
      <c r="R56" s="9" t="str">
        <f t="shared" si="1"/>
        <v>建物_金属造のもの（骨格材の肉厚が三ミリメートル以下のものに限る。）_工場（作業場を含む。）用又は倉庫用のもの　塩、チリ硝石その他の著しい潮解性を有する固体を常時蔵置するためのもの及び著しい蒸気の影響を直接全面的に受けるもの</v>
      </c>
      <c r="S56" s="100">
        <v>14</v>
      </c>
      <c r="AC56" s="9">
        <v>2</v>
      </c>
      <c r="AD56" s="1">
        <v>22</v>
      </c>
      <c r="AG56" s="1">
        <v>55</v>
      </c>
      <c r="AH56" s="1">
        <v>3.5999999999999997E-2</v>
      </c>
      <c r="AI56" s="1">
        <v>1.9E-2</v>
      </c>
    </row>
    <row r="57" spans="3:37">
      <c r="C57" s="9" t="s">
        <v>221</v>
      </c>
      <c r="D57" s="100" t="str">
        <v>48 飲食店業用設備</v>
      </c>
      <c r="E57" s="100" t="s">
        <v>216</v>
      </c>
      <c r="F57" s="100"/>
      <c r="G57" s="100"/>
      <c r="H57" s="100"/>
      <c r="I57" s="9" t="s">
        <v>217</v>
      </c>
      <c r="J57" s="9" t="s">
        <v>288</v>
      </c>
      <c r="K57" s="9" t="str">
        <f t="shared" si="0"/>
        <v>建物_金属造のもの（骨格材の肉厚が三ミリメートル以下のものに限る。）</v>
      </c>
      <c r="L57" s="100" t="s">
        <v>287</v>
      </c>
      <c r="M57" s="100" t="s">
        <v>216</v>
      </c>
      <c r="N57" s="100" t="s">
        <v>220</v>
      </c>
      <c r="O57" s="100" t="s">
        <v>217</v>
      </c>
      <c r="P57" s="100" t="s">
        <v>288</v>
      </c>
      <c r="Q57" s="100" t="s">
        <v>287</v>
      </c>
      <c r="R57" s="9" t="str">
        <f t="shared" si="1"/>
        <v>建物_金属造のもの（骨格材の肉厚が三ミリメートル以下のものに限る。）_工場（作業場を含む。）用又は倉庫用のもの　その他のもの</v>
      </c>
      <c r="S57" s="100">
        <v>17</v>
      </c>
      <c r="AC57" s="9">
        <v>2</v>
      </c>
      <c r="AD57" s="1">
        <v>23</v>
      </c>
      <c r="AG57" s="1">
        <v>56</v>
      </c>
      <c r="AH57" s="1">
        <v>3.5999999999999997E-2</v>
      </c>
      <c r="AI57" s="1">
        <v>1.7999999999999999E-2</v>
      </c>
    </row>
    <row r="58" spans="3:37">
      <c r="C58" s="9" t="s">
        <v>221</v>
      </c>
      <c r="D58" s="100" t="str">
        <v>49 洗濯業、理容業、美容業又は浴場業用設備</v>
      </c>
      <c r="E58" s="100" t="s">
        <v>216</v>
      </c>
      <c r="F58" s="100"/>
      <c r="G58" s="100"/>
      <c r="H58" s="100"/>
      <c r="I58" s="9" t="s">
        <v>217</v>
      </c>
      <c r="J58" s="100" t="s">
        <v>289</v>
      </c>
      <c r="K58" s="9" t="str">
        <f t="shared" si="0"/>
        <v>建物_木造又は合成樹脂造のもの</v>
      </c>
      <c r="L58" s="100" t="s">
        <v>219</v>
      </c>
      <c r="M58" s="100" t="s">
        <v>216</v>
      </c>
      <c r="N58" s="100" t="s">
        <v>220</v>
      </c>
      <c r="O58" s="100" t="s">
        <v>217</v>
      </c>
      <c r="P58" s="100" t="s">
        <v>289</v>
      </c>
      <c r="Q58" s="100" t="s">
        <v>219</v>
      </c>
      <c r="R58" s="9" t="str">
        <f t="shared" si="1"/>
        <v>建物_木造又は合成樹脂造のもの_事務所用又は美術館用のもの及び左記以外のもの</v>
      </c>
      <c r="S58" s="100">
        <v>24</v>
      </c>
      <c r="AC58" s="9">
        <v>2</v>
      </c>
      <c r="AD58" s="1">
        <v>24</v>
      </c>
      <c r="AG58" s="1">
        <v>57</v>
      </c>
      <c r="AH58" s="1">
        <v>3.5000000000000003E-2</v>
      </c>
      <c r="AI58" s="1">
        <v>1.7999999999999999E-2</v>
      </c>
    </row>
    <row r="59" spans="3:37">
      <c r="C59" s="9" t="s">
        <v>221</v>
      </c>
      <c r="D59" s="100" t="str">
        <v>50 その他の生活関連サービス業用設備</v>
      </c>
      <c r="E59" s="100" t="s">
        <v>216</v>
      </c>
      <c r="F59" s="100"/>
      <c r="G59" s="100"/>
      <c r="H59" s="100"/>
      <c r="I59" s="9" t="s">
        <v>217</v>
      </c>
      <c r="J59" s="9" t="s">
        <v>289</v>
      </c>
      <c r="K59" s="9" t="str">
        <f t="shared" si="0"/>
        <v>建物_木造又は合成樹脂造のもの</v>
      </c>
      <c r="L59" s="100" t="s">
        <v>272</v>
      </c>
      <c r="M59" s="100" t="s">
        <v>216</v>
      </c>
      <c r="N59" s="100" t="s">
        <v>220</v>
      </c>
      <c r="O59" s="100" t="s">
        <v>217</v>
      </c>
      <c r="P59" s="100" t="s">
        <v>289</v>
      </c>
      <c r="Q59" s="100" t="s">
        <v>272</v>
      </c>
      <c r="R59" s="9" t="str">
        <f t="shared" si="1"/>
        <v>建物_木造又は合成樹脂造のもの_店舗用、住宅用、寄宿舎用、宿泊所用、学校用又は体育館用のもの</v>
      </c>
      <c r="S59" s="100">
        <v>22</v>
      </c>
      <c r="AC59" s="9">
        <v>2</v>
      </c>
      <c r="AD59" s="1">
        <v>25</v>
      </c>
      <c r="AG59" s="1">
        <v>58</v>
      </c>
      <c r="AH59" s="1">
        <v>3.4000000000000002E-2</v>
      </c>
      <c r="AI59" s="1">
        <v>1.7999999999999999E-2</v>
      </c>
    </row>
    <row r="60" spans="3:37">
      <c r="C60" s="9" t="s">
        <v>221</v>
      </c>
      <c r="D60" s="100" t="str">
        <v>51 娯楽業用設備</v>
      </c>
      <c r="E60" s="100" t="s">
        <v>216</v>
      </c>
      <c r="F60" s="100"/>
      <c r="G60" s="100"/>
      <c r="H60" s="100"/>
      <c r="I60" s="9" t="s">
        <v>217</v>
      </c>
      <c r="J60" s="9" t="s">
        <v>289</v>
      </c>
      <c r="K60" s="9" t="str">
        <f t="shared" si="0"/>
        <v>建物_木造又は合成樹脂造のもの</v>
      </c>
      <c r="L60" s="100" t="s">
        <v>274</v>
      </c>
      <c r="M60" s="100" t="s">
        <v>216</v>
      </c>
      <c r="N60" s="100" t="s">
        <v>220</v>
      </c>
      <c r="O60" s="100" t="s">
        <v>217</v>
      </c>
      <c r="P60" s="100" t="s">
        <v>289</v>
      </c>
      <c r="Q60" s="100" t="s">
        <v>274</v>
      </c>
      <c r="R60" s="9" t="str">
        <f t="shared" si="1"/>
        <v>建物_木造又は合成樹脂造のもの_飲食店用、貸席用、劇場用、演奏場用、映画館用又は舞踏場用のもの</v>
      </c>
      <c r="S60" s="100">
        <v>20</v>
      </c>
      <c r="AC60" s="9">
        <v>2</v>
      </c>
      <c r="AD60" s="1">
        <v>26</v>
      </c>
      <c r="AG60" s="1">
        <v>59</v>
      </c>
      <c r="AH60" s="1">
        <v>3.4000000000000002E-2</v>
      </c>
      <c r="AI60" s="1">
        <v>1.7000000000000001E-2</v>
      </c>
    </row>
    <row r="61" spans="3:37">
      <c r="C61" s="9" t="s">
        <v>221</v>
      </c>
      <c r="D61" s="100" t="str">
        <v>52 教育業（学校教育業を除く。）又は学習支援業用設備</v>
      </c>
      <c r="E61" s="100" t="s">
        <v>216</v>
      </c>
      <c r="F61" s="100"/>
      <c r="G61" s="100"/>
      <c r="H61" s="100"/>
      <c r="I61" s="9" t="s">
        <v>217</v>
      </c>
      <c r="J61" s="9" t="s">
        <v>289</v>
      </c>
      <c r="K61" s="9" t="str">
        <f t="shared" si="0"/>
        <v>建物_木造又は合成樹脂造のもの</v>
      </c>
      <c r="L61" s="100" t="s">
        <v>254</v>
      </c>
      <c r="M61" s="100" t="s">
        <v>216</v>
      </c>
      <c r="N61" s="100" t="s">
        <v>220</v>
      </c>
      <c r="O61" s="100" t="s">
        <v>217</v>
      </c>
      <c r="P61" s="100" t="s">
        <v>289</v>
      </c>
      <c r="Q61" s="100" t="s">
        <v>254</v>
      </c>
      <c r="R61" s="9" t="str">
        <f t="shared" si="1"/>
        <v>建物_木造又は合成樹脂造のもの_変電所用、発電所用、送受信所用、停車場用、車庫用、格納庫用、荷扱所用、映画製作ステージ用、屋内スケート場用、魚市場用又はと畜場用のもの</v>
      </c>
      <c r="S61" s="100">
        <v>17</v>
      </c>
      <c r="AC61" s="9">
        <v>2</v>
      </c>
      <c r="AD61" s="1">
        <v>27</v>
      </c>
      <c r="AG61" s="1">
        <v>60</v>
      </c>
      <c r="AH61" s="1">
        <v>3.3000000000000002E-2</v>
      </c>
      <c r="AI61" s="1">
        <v>1.7000000000000001E-2</v>
      </c>
    </row>
    <row r="62" spans="3:37">
      <c r="C62" s="9" t="s">
        <v>221</v>
      </c>
      <c r="D62" s="100" t="str">
        <v>53 自動車整備業用設備</v>
      </c>
      <c r="E62" s="100" t="s">
        <v>216</v>
      </c>
      <c r="F62" s="100"/>
      <c r="G62" s="100"/>
      <c r="H62" s="100"/>
      <c r="I62" s="9" t="s">
        <v>217</v>
      </c>
      <c r="J62" s="9" t="s">
        <v>289</v>
      </c>
      <c r="K62" s="9" t="str">
        <f t="shared" si="0"/>
        <v>建物_木造又は合成樹脂造のもの</v>
      </c>
      <c r="L62" s="100" t="s">
        <v>278</v>
      </c>
      <c r="M62" s="100" t="s">
        <v>216</v>
      </c>
      <c r="N62" s="100" t="s">
        <v>220</v>
      </c>
      <c r="O62" s="100" t="s">
        <v>217</v>
      </c>
      <c r="P62" s="100" t="s">
        <v>289</v>
      </c>
      <c r="Q62" s="100" t="s">
        <v>278</v>
      </c>
      <c r="R62" s="9" t="str">
        <f t="shared" si="1"/>
        <v>建物_木造又は合成樹脂造のもの_旅館用、ホテル用又は病院用のもの</v>
      </c>
      <c r="S62" s="100">
        <v>17</v>
      </c>
      <c r="AC62" s="9">
        <v>2</v>
      </c>
      <c r="AD62" s="1">
        <v>28</v>
      </c>
      <c r="AG62" s="1">
        <v>61</v>
      </c>
      <c r="AH62" s="1">
        <v>3.3000000000000002E-2</v>
      </c>
      <c r="AI62" s="1">
        <v>1.7000000000000001E-2</v>
      </c>
    </row>
    <row r="63" spans="3:37">
      <c r="C63" s="9" t="s">
        <v>221</v>
      </c>
      <c r="D63" s="100" t="str">
        <v>54 その他のサービス業用設備</v>
      </c>
      <c r="E63" s="100" t="s">
        <v>216</v>
      </c>
      <c r="F63" s="100"/>
      <c r="G63" s="100"/>
      <c r="H63" s="100"/>
      <c r="I63" s="9" t="s">
        <v>217</v>
      </c>
      <c r="J63" s="9" t="s">
        <v>289</v>
      </c>
      <c r="K63" s="9" t="str">
        <f t="shared" si="0"/>
        <v>建物_木造又は合成樹脂造のもの</v>
      </c>
      <c r="L63" s="100" t="s">
        <v>258</v>
      </c>
      <c r="M63" s="100" t="s">
        <v>216</v>
      </c>
      <c r="N63" s="100" t="s">
        <v>220</v>
      </c>
      <c r="O63" s="100" t="s">
        <v>217</v>
      </c>
      <c r="P63" s="100" t="s">
        <v>289</v>
      </c>
      <c r="Q63" s="100" t="s">
        <v>258</v>
      </c>
      <c r="R63" s="9" t="str">
        <f t="shared" si="1"/>
        <v>建物_木造又は合成樹脂造のもの_公衆浴場用のもの</v>
      </c>
      <c r="S63" s="100">
        <v>12</v>
      </c>
      <c r="AC63" s="1">
        <v>3</v>
      </c>
      <c r="AD63" s="122" t="s">
        <v>161</v>
      </c>
      <c r="AG63" s="1">
        <v>62</v>
      </c>
      <c r="AH63" s="1">
        <v>3.2000000000000001E-2</v>
      </c>
      <c r="AI63" s="1">
        <v>1.7000000000000001E-2</v>
      </c>
    </row>
    <row r="64" spans="3:37">
      <c r="C64" s="9" t="s">
        <v>221</v>
      </c>
      <c r="D64" s="100" t="str">
        <v>55 前掲の機械及び装置以外のもの並びに前掲の区分によらないもの</v>
      </c>
      <c r="E64" s="100" t="s">
        <v>216</v>
      </c>
      <c r="F64" s="100"/>
      <c r="G64" s="100"/>
      <c r="H64" s="100"/>
      <c r="I64" s="9" t="s">
        <v>217</v>
      </c>
      <c r="J64" s="9" t="s">
        <v>289</v>
      </c>
      <c r="K64" s="9" t="str">
        <f t="shared" si="0"/>
        <v>建物_木造又は合成樹脂造のもの</v>
      </c>
      <c r="L64" s="100" t="s">
        <v>286</v>
      </c>
      <c r="M64" s="100" t="s">
        <v>216</v>
      </c>
      <c r="N64" s="100" t="s">
        <v>220</v>
      </c>
      <c r="O64" s="100" t="s">
        <v>217</v>
      </c>
      <c r="P64" s="100" t="s">
        <v>289</v>
      </c>
      <c r="Q64" s="100" t="s">
        <v>286</v>
      </c>
      <c r="R64" s="9" t="str">
        <f t="shared" si="1"/>
        <v>建物_木造又は合成樹脂造のもの_工場（作業場を含む。）用又は倉庫用のもの　塩素、塩酸、硫酸、硝酸その他の著しい腐食性を有する液体又は気体の影響を直接全面的に受けるもの及び冷蔵倉庫用のもの</v>
      </c>
      <c r="S64" s="100">
        <v>9</v>
      </c>
      <c r="AC64" s="9">
        <v>3</v>
      </c>
      <c r="AD64" s="1">
        <v>1</v>
      </c>
      <c r="AG64" s="1">
        <v>63</v>
      </c>
      <c r="AH64" s="1">
        <v>3.2000000000000001E-2</v>
      </c>
      <c r="AI64" s="1">
        <v>1.6E-2</v>
      </c>
    </row>
    <row r="65" spans="3:35">
      <c r="C65" s="9" t="s">
        <v>221</v>
      </c>
      <c r="D65" s="100" t="str">
        <v>別表第五　機械及び装置／公害防止用減価償却資産</v>
      </c>
      <c r="E65" s="100" t="s">
        <v>216</v>
      </c>
      <c r="F65" s="100"/>
      <c r="G65" s="100"/>
      <c r="H65" s="100"/>
      <c r="I65" s="9" t="s">
        <v>217</v>
      </c>
      <c r="J65" s="9" t="s">
        <v>289</v>
      </c>
      <c r="K65" s="9" t="str">
        <f t="shared" si="0"/>
        <v>建物_木造又は合成樹脂造のもの</v>
      </c>
      <c r="L65" s="100" t="s">
        <v>262</v>
      </c>
      <c r="M65" s="100" t="s">
        <v>216</v>
      </c>
      <c r="N65" s="100" t="s">
        <v>220</v>
      </c>
      <c r="O65" s="100" t="s">
        <v>217</v>
      </c>
      <c r="P65" s="100" t="s">
        <v>289</v>
      </c>
      <c r="Q65" s="100" t="s">
        <v>262</v>
      </c>
      <c r="R65" s="9" t="str">
        <f t="shared" si="1"/>
        <v>建物_木造又は合成樹脂造のもの_工場（作業場を含む。）用又は倉庫用のもの　塩、チリ硝石その他の著しい潮解性を有する固体を常時蔵置するためのもの及び著しい蒸気の影響を直接全面的に受けるもの</v>
      </c>
      <c r="S65" s="100">
        <v>11</v>
      </c>
      <c r="AC65" s="9">
        <v>3</v>
      </c>
      <c r="AD65" s="1">
        <v>2</v>
      </c>
      <c r="AG65" s="1">
        <v>64</v>
      </c>
      <c r="AH65" s="1">
        <v>3.1E-2</v>
      </c>
      <c r="AI65" s="1">
        <v>1.6E-2</v>
      </c>
    </row>
    <row r="66" spans="3:35">
      <c r="C66" s="9" t="s">
        <v>221</v>
      </c>
      <c r="D66" s="100" t="str">
        <v>別表第六　機械及び装置／開発研究用減価償却資産</v>
      </c>
      <c r="E66" s="100" t="s">
        <v>216</v>
      </c>
      <c r="F66" s="100"/>
      <c r="G66" s="100"/>
      <c r="H66" s="100"/>
      <c r="I66" s="9" t="s">
        <v>217</v>
      </c>
      <c r="J66" s="9" t="s">
        <v>289</v>
      </c>
      <c r="K66" s="9" t="str">
        <f t="shared" si="0"/>
        <v>建物_木造又は合成樹脂造のもの</v>
      </c>
      <c r="L66" s="100" t="s">
        <v>287</v>
      </c>
      <c r="M66" s="100" t="s">
        <v>216</v>
      </c>
      <c r="N66" s="100" t="s">
        <v>220</v>
      </c>
      <c r="O66" s="100" t="s">
        <v>217</v>
      </c>
      <c r="P66" s="100" t="s">
        <v>289</v>
      </c>
      <c r="Q66" s="100" t="s">
        <v>287</v>
      </c>
      <c r="R66" s="9" t="str">
        <f t="shared" si="1"/>
        <v>建物_木造又は合成樹脂造のもの_工場（作業場を含む。）用又は倉庫用のもの　その他のもの</v>
      </c>
      <c r="S66" s="100">
        <v>15</v>
      </c>
      <c r="AC66" s="9">
        <v>3</v>
      </c>
      <c r="AD66" s="1">
        <v>3</v>
      </c>
      <c r="AG66" s="1">
        <v>65</v>
      </c>
      <c r="AH66" s="1">
        <v>3.1E-2</v>
      </c>
      <c r="AI66" s="1">
        <v>1.6E-2</v>
      </c>
    </row>
    <row r="67" spans="3:35">
      <c r="C67" s="1" t="s">
        <v>232</v>
      </c>
      <c r="D67" s="100" t="str" cm="1">
        <f t="array" ref="D67:D68">_xlfn.UNIQUE(O315:O317)</f>
        <v>ソフトウエア</v>
      </c>
      <c r="E67" s="100" t="s">
        <v>216</v>
      </c>
      <c r="F67" s="100"/>
      <c r="G67" s="100"/>
      <c r="H67" s="100"/>
      <c r="I67" s="9" t="s">
        <v>217</v>
      </c>
      <c r="J67" s="100" t="s">
        <v>290</v>
      </c>
      <c r="K67" s="9" t="str">
        <f t="shared" si="0"/>
        <v>建物_木骨モルタル造のもの</v>
      </c>
      <c r="L67" s="100" t="s">
        <v>219</v>
      </c>
      <c r="M67" s="100" t="s">
        <v>216</v>
      </c>
      <c r="N67" s="100" t="s">
        <v>220</v>
      </c>
      <c r="O67" s="100" t="s">
        <v>217</v>
      </c>
      <c r="P67" s="100" t="s">
        <v>290</v>
      </c>
      <c r="Q67" s="100" t="s">
        <v>219</v>
      </c>
      <c r="R67" s="9" t="str">
        <f t="shared" si="1"/>
        <v>建物_木骨モルタル造のもの_事務所用又は美術館用のもの及び左記以外のもの</v>
      </c>
      <c r="S67" s="100">
        <v>22</v>
      </c>
      <c r="AC67" s="9">
        <v>3</v>
      </c>
      <c r="AD67" s="1">
        <v>4</v>
      </c>
      <c r="AG67" s="1">
        <v>66</v>
      </c>
      <c r="AH67" s="1">
        <v>0.03</v>
      </c>
      <c r="AI67" s="1">
        <v>1.6E-2</v>
      </c>
    </row>
    <row r="68" spans="3:35">
      <c r="C68" s="9" t="s">
        <v>232</v>
      </c>
      <c r="D68" s="100" t="str">
        <v>別表第六　ソフトウエア／開発研究用減価償却資産</v>
      </c>
      <c r="E68" s="100" t="s">
        <v>216</v>
      </c>
      <c r="F68" s="100"/>
      <c r="G68" s="100"/>
      <c r="H68" s="100"/>
      <c r="I68" s="9" t="s">
        <v>217</v>
      </c>
      <c r="J68" s="9" t="s">
        <v>290</v>
      </c>
      <c r="K68" s="9" t="str">
        <f t="shared" ref="K68:K131" si="2">I68&amp;"_"&amp;J68</f>
        <v>建物_木骨モルタル造のもの</v>
      </c>
      <c r="L68" s="100" t="s">
        <v>272</v>
      </c>
      <c r="M68" s="100" t="s">
        <v>216</v>
      </c>
      <c r="N68" s="100" t="s">
        <v>220</v>
      </c>
      <c r="O68" s="100" t="s">
        <v>217</v>
      </c>
      <c r="P68" s="100" t="s">
        <v>290</v>
      </c>
      <c r="Q68" s="100" t="s">
        <v>272</v>
      </c>
      <c r="R68" s="9" t="str">
        <f t="shared" ref="R68:R131" si="3">O68&amp;"_"&amp;P68&amp;"_"&amp;Q68</f>
        <v>建物_木骨モルタル造のもの_店舗用、住宅用、寄宿舎用、宿泊所用、学校用又は体育館用のもの</v>
      </c>
      <c r="S68" s="100">
        <v>20</v>
      </c>
      <c r="AC68" s="9">
        <v>3</v>
      </c>
      <c r="AD68" s="1">
        <v>5</v>
      </c>
      <c r="AG68" s="1">
        <v>67</v>
      </c>
      <c r="AH68" s="1">
        <v>0.03</v>
      </c>
      <c r="AI68" s="1">
        <v>1.4999999999999999E-2</v>
      </c>
    </row>
    <row r="69" spans="3:35">
      <c r="C69" s="1" t="s">
        <v>237</v>
      </c>
      <c r="D69" s="100" t="str" cm="1">
        <f t="array" ref="D69:D80">_xlfn.UNIQUE(O318:O330)</f>
        <v>特許権</v>
      </c>
      <c r="E69" s="100" t="s">
        <v>216</v>
      </c>
      <c r="F69" s="100"/>
      <c r="G69" s="100"/>
      <c r="H69" s="100"/>
      <c r="I69" s="9" t="s">
        <v>217</v>
      </c>
      <c r="J69" s="9" t="s">
        <v>290</v>
      </c>
      <c r="K69" s="9" t="str">
        <f t="shared" si="2"/>
        <v>建物_木骨モルタル造のもの</v>
      </c>
      <c r="L69" s="100" t="s">
        <v>274</v>
      </c>
      <c r="M69" s="100" t="s">
        <v>216</v>
      </c>
      <c r="N69" s="100" t="s">
        <v>220</v>
      </c>
      <c r="O69" s="100" t="s">
        <v>217</v>
      </c>
      <c r="P69" s="100" t="s">
        <v>290</v>
      </c>
      <c r="Q69" s="100" t="s">
        <v>274</v>
      </c>
      <c r="R69" s="9" t="str">
        <f t="shared" si="3"/>
        <v>建物_木骨モルタル造のもの_飲食店用、貸席用、劇場用、演奏場用、映画館用又は舞踏場用のもの</v>
      </c>
      <c r="S69" s="100">
        <v>19</v>
      </c>
      <c r="AC69" s="9">
        <v>3</v>
      </c>
      <c r="AD69" s="1">
        <v>6</v>
      </c>
      <c r="AG69" s="1">
        <v>68</v>
      </c>
      <c r="AH69" s="1">
        <v>2.9000000000000001E-2</v>
      </c>
      <c r="AI69" s="1">
        <v>1.4999999999999999E-2</v>
      </c>
    </row>
    <row r="70" spans="3:35">
      <c r="C70" s="9" t="s">
        <v>237</v>
      </c>
      <c r="D70" s="100" t="str">
        <v>実用新案権</v>
      </c>
      <c r="E70" s="100" t="s">
        <v>216</v>
      </c>
      <c r="F70" s="100"/>
      <c r="G70" s="100"/>
      <c r="H70" s="100"/>
      <c r="I70" s="9" t="s">
        <v>217</v>
      </c>
      <c r="J70" s="9" t="s">
        <v>290</v>
      </c>
      <c r="K70" s="9" t="str">
        <f t="shared" si="2"/>
        <v>建物_木骨モルタル造のもの</v>
      </c>
      <c r="L70" s="100" t="s">
        <v>254</v>
      </c>
      <c r="M70" s="100" t="s">
        <v>216</v>
      </c>
      <c r="N70" s="100" t="s">
        <v>220</v>
      </c>
      <c r="O70" s="100" t="s">
        <v>217</v>
      </c>
      <c r="P70" s="100" t="s">
        <v>290</v>
      </c>
      <c r="Q70" s="100" t="s">
        <v>254</v>
      </c>
      <c r="R70" s="9" t="str">
        <f t="shared" si="3"/>
        <v>建物_木骨モルタル造のもの_変電所用、発電所用、送受信所用、停車場用、車庫用、格納庫用、荷扱所用、映画製作ステージ用、屋内スケート場用、魚市場用又はと畜場用のもの</v>
      </c>
      <c r="S70" s="100">
        <v>15</v>
      </c>
      <c r="AC70" s="9">
        <v>3</v>
      </c>
      <c r="AD70" s="1">
        <v>7</v>
      </c>
      <c r="AG70" s="1">
        <v>69</v>
      </c>
      <c r="AH70" s="1">
        <v>2.9000000000000001E-2</v>
      </c>
      <c r="AI70" s="1">
        <v>1.4999999999999999E-2</v>
      </c>
    </row>
    <row r="71" spans="3:35">
      <c r="C71" s="9" t="s">
        <v>237</v>
      </c>
      <c r="D71" s="100" t="str">
        <v>意匠権</v>
      </c>
      <c r="E71" s="100" t="s">
        <v>216</v>
      </c>
      <c r="F71" s="100"/>
      <c r="G71" s="100"/>
      <c r="H71" s="100"/>
      <c r="I71" s="9" t="s">
        <v>217</v>
      </c>
      <c r="J71" s="9" t="s">
        <v>290</v>
      </c>
      <c r="K71" s="9" t="str">
        <f t="shared" si="2"/>
        <v>建物_木骨モルタル造のもの</v>
      </c>
      <c r="L71" s="100" t="s">
        <v>278</v>
      </c>
      <c r="M71" s="100" t="s">
        <v>216</v>
      </c>
      <c r="N71" s="100" t="s">
        <v>220</v>
      </c>
      <c r="O71" s="100" t="s">
        <v>217</v>
      </c>
      <c r="P71" s="100" t="s">
        <v>290</v>
      </c>
      <c r="Q71" s="100" t="s">
        <v>278</v>
      </c>
      <c r="R71" s="9" t="str">
        <f t="shared" si="3"/>
        <v>建物_木骨モルタル造のもの_旅館用、ホテル用又は病院用のもの</v>
      </c>
      <c r="S71" s="100">
        <v>15</v>
      </c>
      <c r="AC71" s="9">
        <v>3</v>
      </c>
      <c r="AD71" s="1">
        <v>8</v>
      </c>
      <c r="AG71" s="1">
        <v>70</v>
      </c>
      <c r="AH71" s="1">
        <v>2.9000000000000001E-2</v>
      </c>
      <c r="AI71" s="1">
        <v>1.4999999999999999E-2</v>
      </c>
    </row>
    <row r="72" spans="3:35">
      <c r="C72" s="9" t="s">
        <v>237</v>
      </c>
      <c r="D72" s="100" t="str">
        <v>商標権</v>
      </c>
      <c r="E72" s="100" t="s">
        <v>216</v>
      </c>
      <c r="F72" s="100"/>
      <c r="G72" s="100"/>
      <c r="H72" s="100"/>
      <c r="I72" s="9" t="s">
        <v>217</v>
      </c>
      <c r="J72" s="9" t="s">
        <v>290</v>
      </c>
      <c r="K72" s="9" t="str">
        <f t="shared" si="2"/>
        <v>建物_木骨モルタル造のもの</v>
      </c>
      <c r="L72" s="100" t="s">
        <v>258</v>
      </c>
      <c r="M72" s="100" t="s">
        <v>216</v>
      </c>
      <c r="N72" s="100" t="s">
        <v>220</v>
      </c>
      <c r="O72" s="100" t="s">
        <v>217</v>
      </c>
      <c r="P72" s="100" t="s">
        <v>290</v>
      </c>
      <c r="Q72" s="100" t="s">
        <v>258</v>
      </c>
      <c r="R72" s="9" t="str">
        <f t="shared" si="3"/>
        <v>建物_木骨モルタル造のもの_公衆浴場用のもの</v>
      </c>
      <c r="S72" s="100">
        <v>11</v>
      </c>
      <c r="AC72" s="9">
        <v>3</v>
      </c>
      <c r="AD72" s="1">
        <v>9</v>
      </c>
      <c r="AG72" s="1">
        <v>71</v>
      </c>
      <c r="AH72" s="1">
        <v>2.8000000000000001E-2</v>
      </c>
      <c r="AI72" s="1">
        <v>1.4999999999999999E-2</v>
      </c>
    </row>
    <row r="73" spans="3:35">
      <c r="C73" s="9" t="s">
        <v>237</v>
      </c>
      <c r="D73" s="100" t="str">
        <v>育成者権</v>
      </c>
      <c r="E73" s="100" t="s">
        <v>216</v>
      </c>
      <c r="F73" s="100"/>
      <c r="G73" s="100"/>
      <c r="H73" s="100"/>
      <c r="I73" s="9" t="s">
        <v>217</v>
      </c>
      <c r="J73" s="9" t="s">
        <v>290</v>
      </c>
      <c r="K73" s="9" t="str">
        <f t="shared" si="2"/>
        <v>建物_木骨モルタル造のもの</v>
      </c>
      <c r="L73" s="100" t="s">
        <v>286</v>
      </c>
      <c r="M73" s="100" t="s">
        <v>216</v>
      </c>
      <c r="N73" s="100" t="s">
        <v>220</v>
      </c>
      <c r="O73" s="100" t="s">
        <v>217</v>
      </c>
      <c r="P73" s="100" t="s">
        <v>290</v>
      </c>
      <c r="Q73" s="100" t="s">
        <v>286</v>
      </c>
      <c r="R73" s="9" t="str">
        <f t="shared" si="3"/>
        <v>建物_木骨モルタル造のもの_工場（作業場を含む。）用又は倉庫用のもの　塩素、塩酸、硫酸、硝酸その他の著しい腐食性を有する液体又は気体の影響を直接全面的に受けるもの及び冷蔵倉庫用のもの</v>
      </c>
      <c r="S73" s="100">
        <v>7</v>
      </c>
      <c r="AC73" s="9">
        <v>3</v>
      </c>
      <c r="AD73" s="1">
        <v>10</v>
      </c>
      <c r="AG73" s="1">
        <v>72</v>
      </c>
      <c r="AH73" s="1">
        <v>2.8000000000000001E-2</v>
      </c>
      <c r="AI73" s="1">
        <v>1.4E-2</v>
      </c>
    </row>
    <row r="74" spans="3:35">
      <c r="C74" s="9" t="s">
        <v>237</v>
      </c>
      <c r="D74" s="100" t="str">
        <v>営業権</v>
      </c>
      <c r="E74" s="100" t="s">
        <v>216</v>
      </c>
      <c r="F74" s="100"/>
      <c r="G74" s="100"/>
      <c r="H74" s="100"/>
      <c r="I74" s="9" t="s">
        <v>217</v>
      </c>
      <c r="J74" s="9" t="s">
        <v>290</v>
      </c>
      <c r="K74" s="9" t="str">
        <f t="shared" si="2"/>
        <v>建物_木骨モルタル造のもの</v>
      </c>
      <c r="L74" s="100" t="s">
        <v>262</v>
      </c>
      <c r="M74" s="100" t="s">
        <v>216</v>
      </c>
      <c r="N74" s="100" t="s">
        <v>220</v>
      </c>
      <c r="O74" s="100" t="s">
        <v>217</v>
      </c>
      <c r="P74" s="100" t="s">
        <v>290</v>
      </c>
      <c r="Q74" s="100" t="s">
        <v>262</v>
      </c>
      <c r="R74" s="9" t="str">
        <f t="shared" si="3"/>
        <v>建物_木骨モルタル造のもの_工場（作業場を含む。）用又は倉庫用のもの　塩、チリ硝石その他の著しい潮解性を有する固体を常時蔵置するためのもの及び著しい蒸気の影響を直接全面的に受けるもの</v>
      </c>
      <c r="S74" s="100">
        <v>10</v>
      </c>
      <c r="AC74" s="9">
        <v>3</v>
      </c>
      <c r="AD74" s="1">
        <v>11</v>
      </c>
      <c r="AG74" s="1">
        <v>73</v>
      </c>
      <c r="AH74" s="1">
        <v>2.7E-2</v>
      </c>
      <c r="AI74" s="1">
        <v>1.4E-2</v>
      </c>
    </row>
    <row r="75" spans="3:35">
      <c r="C75" s="9" t="s">
        <v>237</v>
      </c>
      <c r="D75" s="100" t="str">
        <v>専用側線利用権</v>
      </c>
      <c r="E75" s="100" t="s">
        <v>216</v>
      </c>
      <c r="F75" s="100"/>
      <c r="G75" s="100"/>
      <c r="H75" s="100"/>
      <c r="I75" s="9" t="s">
        <v>217</v>
      </c>
      <c r="J75" s="9" t="s">
        <v>290</v>
      </c>
      <c r="K75" s="9" t="str">
        <f t="shared" si="2"/>
        <v>建物_木骨モルタル造のもの</v>
      </c>
      <c r="L75" s="100" t="s">
        <v>287</v>
      </c>
      <c r="M75" s="100" t="s">
        <v>216</v>
      </c>
      <c r="N75" s="100" t="s">
        <v>220</v>
      </c>
      <c r="O75" s="100" t="s">
        <v>217</v>
      </c>
      <c r="P75" s="100" t="s">
        <v>290</v>
      </c>
      <c r="Q75" s="100" t="s">
        <v>287</v>
      </c>
      <c r="R75" s="9" t="str">
        <f t="shared" si="3"/>
        <v>建物_木骨モルタル造のもの_工場（作業場を含む。）用又は倉庫用のもの　その他のもの</v>
      </c>
      <c r="S75" s="100">
        <v>14</v>
      </c>
      <c r="AC75" s="9">
        <v>3</v>
      </c>
      <c r="AD75" s="1">
        <v>12</v>
      </c>
      <c r="AG75" s="1">
        <v>74</v>
      </c>
      <c r="AH75" s="1">
        <v>2.7E-2</v>
      </c>
      <c r="AI75" s="1">
        <v>1.4E-2</v>
      </c>
    </row>
    <row r="76" spans="3:35">
      <c r="C76" s="9" t="s">
        <v>237</v>
      </c>
      <c r="D76" s="100" t="str">
        <v>鉄道軌道連絡通行施設利用権</v>
      </c>
      <c r="E76" s="100" t="s">
        <v>216</v>
      </c>
      <c r="F76" s="100"/>
      <c r="G76" s="100"/>
      <c r="H76" s="100"/>
      <c r="I76" s="9" t="s">
        <v>217</v>
      </c>
      <c r="J76" s="100" t="s">
        <v>291</v>
      </c>
      <c r="K76" s="9" t="str">
        <f t="shared" si="2"/>
        <v>建物_簡易建物</v>
      </c>
      <c r="L76" s="100" t="s">
        <v>292</v>
      </c>
      <c r="M76" s="100" t="s">
        <v>216</v>
      </c>
      <c r="N76" s="100" t="s">
        <v>220</v>
      </c>
      <c r="O76" s="100" t="s">
        <v>217</v>
      </c>
      <c r="P76" s="100" t="s">
        <v>291</v>
      </c>
      <c r="Q76" s="100" t="s">
        <v>292</v>
      </c>
      <c r="R76" s="9" t="str">
        <f t="shared" si="3"/>
        <v>建物_簡易建物_木製主要柱が十センチメートル角以下のもので、土居ぶき、杉皮ぶき、ルーフイングぶき又はトタンぶきのもの</v>
      </c>
      <c r="S76" s="100">
        <v>10</v>
      </c>
      <c r="AC76" s="9">
        <v>3</v>
      </c>
      <c r="AD76" s="1">
        <v>13</v>
      </c>
      <c r="AG76" s="1">
        <v>75</v>
      </c>
      <c r="AH76" s="1">
        <v>2.7E-2</v>
      </c>
      <c r="AI76" s="1">
        <v>1.4E-2</v>
      </c>
    </row>
    <row r="77" spans="3:35">
      <c r="C77" s="9" t="s">
        <v>237</v>
      </c>
      <c r="D77" s="100" t="str">
        <v>電気ガス供給施設利用権</v>
      </c>
      <c r="E77" s="100" t="s">
        <v>216</v>
      </c>
      <c r="F77" s="100"/>
      <c r="G77" s="100"/>
      <c r="H77" s="100"/>
      <c r="I77" s="9" t="s">
        <v>217</v>
      </c>
      <c r="J77" s="9" t="s">
        <v>291</v>
      </c>
      <c r="K77" s="9" t="str">
        <f t="shared" si="2"/>
        <v>建物_簡易建物</v>
      </c>
      <c r="L77" s="100" t="s">
        <v>293</v>
      </c>
      <c r="M77" s="100" t="s">
        <v>216</v>
      </c>
      <c r="N77" s="100" t="s">
        <v>220</v>
      </c>
      <c r="O77" s="100" t="s">
        <v>217</v>
      </c>
      <c r="P77" s="100" t="s">
        <v>291</v>
      </c>
      <c r="Q77" s="100" t="s">
        <v>293</v>
      </c>
      <c r="R77" s="9" t="str">
        <f t="shared" si="3"/>
        <v>建物_簡易建物_掘立造のもの及び仮設のもの</v>
      </c>
      <c r="S77" s="100">
        <v>7</v>
      </c>
      <c r="AC77" s="9">
        <v>3</v>
      </c>
      <c r="AD77" s="1">
        <v>14</v>
      </c>
      <c r="AG77" s="1">
        <v>76</v>
      </c>
      <c r="AH77" s="1">
        <v>2.5999999999999999E-2</v>
      </c>
      <c r="AI77" s="1">
        <v>1.4E-2</v>
      </c>
    </row>
    <row r="78" spans="3:35">
      <c r="C78" s="9" t="s">
        <v>237</v>
      </c>
      <c r="D78" s="100" t="str">
        <v>水道施設利用権</v>
      </c>
      <c r="E78" s="100" t="s">
        <v>216</v>
      </c>
      <c r="F78" s="100"/>
      <c r="G78" s="100"/>
      <c r="H78" s="100"/>
      <c r="I78" s="100" t="s">
        <v>257</v>
      </c>
      <c r="J78" s="100" t="s">
        <v>294</v>
      </c>
      <c r="K78" s="9" t="str">
        <f t="shared" si="2"/>
        <v>建物附属設備_電気設備（照明設備を含む。）</v>
      </c>
      <c r="L78" s="100" t="s">
        <v>295</v>
      </c>
      <c r="M78" s="100" t="s">
        <v>216</v>
      </c>
      <c r="N78" s="100" t="s">
        <v>220</v>
      </c>
      <c r="O78" s="100" t="s">
        <v>257</v>
      </c>
      <c r="P78" s="100" t="s">
        <v>294</v>
      </c>
      <c r="Q78" s="100" t="s">
        <v>295</v>
      </c>
      <c r="R78" s="9" t="str">
        <f t="shared" si="3"/>
        <v>建物附属設備_電気設備（照明設備を含む。）_蓄電池電源設備</v>
      </c>
      <c r="S78" s="100">
        <v>6</v>
      </c>
      <c r="AC78" s="9">
        <v>3</v>
      </c>
      <c r="AD78" s="1">
        <v>15</v>
      </c>
      <c r="AG78" s="1">
        <v>77</v>
      </c>
      <c r="AH78" s="1">
        <v>2.5999999999999999E-2</v>
      </c>
      <c r="AI78" s="1">
        <v>1.2999999999999999E-2</v>
      </c>
    </row>
    <row r="79" spans="3:35">
      <c r="C79" s="9" t="s">
        <v>237</v>
      </c>
      <c r="D79" s="100" t="str">
        <v>工業用水道施設利用権</v>
      </c>
      <c r="E79" s="100" t="s">
        <v>216</v>
      </c>
      <c r="F79" s="100"/>
      <c r="G79" s="100"/>
      <c r="H79" s="100"/>
      <c r="I79" s="9" t="s">
        <v>257</v>
      </c>
      <c r="J79" s="9" t="s">
        <v>294</v>
      </c>
      <c r="K79" s="9" t="str">
        <f t="shared" si="2"/>
        <v>建物附属設備_電気設備（照明設備を含む。）</v>
      </c>
      <c r="L79" s="100" t="s">
        <v>296</v>
      </c>
      <c r="M79" s="100" t="s">
        <v>216</v>
      </c>
      <c r="N79" s="100" t="s">
        <v>220</v>
      </c>
      <c r="O79" s="100" t="s">
        <v>257</v>
      </c>
      <c r="P79" s="100" t="s">
        <v>294</v>
      </c>
      <c r="Q79" s="100" t="s">
        <v>296</v>
      </c>
      <c r="R79" s="9" t="str">
        <f t="shared" si="3"/>
        <v>建物附属設備_電気設備（照明設備を含む。）_その他のもの</v>
      </c>
      <c r="S79" s="100">
        <v>15</v>
      </c>
      <c r="AC79" s="9">
        <v>3</v>
      </c>
      <c r="AD79" s="1">
        <v>16</v>
      </c>
      <c r="AG79" s="1">
        <v>78</v>
      </c>
      <c r="AH79" s="1">
        <v>2.5999999999999999E-2</v>
      </c>
      <c r="AI79" s="1">
        <v>1.2999999999999999E-2</v>
      </c>
    </row>
    <row r="80" spans="3:35">
      <c r="C80" s="9" t="s">
        <v>237</v>
      </c>
      <c r="D80" s="100" t="str">
        <v>電気通信施設利用権</v>
      </c>
      <c r="E80" s="100" t="s">
        <v>216</v>
      </c>
      <c r="F80" s="100"/>
      <c r="G80" s="100"/>
      <c r="H80" s="100"/>
      <c r="I80" s="9" t="s">
        <v>257</v>
      </c>
      <c r="J80" s="100" t="s">
        <v>297</v>
      </c>
      <c r="K80" s="9" t="str">
        <f t="shared" si="2"/>
        <v>建物附属設備_冷房、暖房、通風又はボイラー設備</v>
      </c>
      <c r="L80" s="100" t="s">
        <v>298</v>
      </c>
      <c r="M80" s="100" t="s">
        <v>216</v>
      </c>
      <c r="N80" s="100" t="s">
        <v>220</v>
      </c>
      <c r="O80" s="100" t="s">
        <v>257</v>
      </c>
      <c r="P80" s="100" t="s">
        <v>299</v>
      </c>
      <c r="Q80" s="100"/>
      <c r="R80" s="9" t="str">
        <f t="shared" si="3"/>
        <v>建物附属設備_給排水又は衛生設備及びガス設備_</v>
      </c>
      <c r="S80" s="100">
        <v>15</v>
      </c>
      <c r="AC80" s="9">
        <v>3</v>
      </c>
      <c r="AD80" s="1">
        <v>17</v>
      </c>
      <c r="AG80" s="1">
        <v>79</v>
      </c>
      <c r="AH80" s="1">
        <v>2.5000000000000001E-2</v>
      </c>
      <c r="AI80" s="1">
        <v>1.2999999999999999E-2</v>
      </c>
    </row>
    <row r="81" spans="3:35">
      <c r="C81" s="100"/>
      <c r="D81" s="100"/>
      <c r="E81" s="100"/>
      <c r="F81" s="100"/>
      <c r="G81" s="100"/>
      <c r="H81" s="100"/>
      <c r="I81" s="9" t="s">
        <v>257</v>
      </c>
      <c r="J81" s="9" t="s">
        <v>297</v>
      </c>
      <c r="K81" s="9" t="str">
        <f t="shared" si="2"/>
        <v>建物附属設備_冷房、暖房、通風又はボイラー設備</v>
      </c>
      <c r="L81" s="100" t="s">
        <v>296</v>
      </c>
      <c r="M81" s="100" t="s">
        <v>216</v>
      </c>
      <c r="N81" s="100" t="s">
        <v>220</v>
      </c>
      <c r="O81" s="100" t="s">
        <v>257</v>
      </c>
      <c r="P81" s="100" t="s">
        <v>297</v>
      </c>
      <c r="Q81" s="100" t="s">
        <v>298</v>
      </c>
      <c r="R81" s="9" t="str">
        <f t="shared" si="3"/>
        <v>建物附属設備_冷房、暖房、通風又はボイラー設備_冷暖房設備（冷凍機の出力が二十二キロワット以下のもの）</v>
      </c>
      <c r="S81" s="100">
        <v>13</v>
      </c>
      <c r="AC81" s="9">
        <v>3</v>
      </c>
      <c r="AD81" s="1">
        <v>18</v>
      </c>
      <c r="AG81" s="1">
        <v>80</v>
      </c>
      <c r="AH81" s="1">
        <v>2.5000000000000001E-2</v>
      </c>
      <c r="AI81" s="1">
        <v>1.2999999999999999E-2</v>
      </c>
    </row>
    <row r="82" spans="3:35">
      <c r="C82" s="100"/>
      <c r="D82" s="100"/>
      <c r="E82" s="100"/>
      <c r="F82" s="100"/>
      <c r="G82" s="100"/>
      <c r="H82" s="100"/>
      <c r="I82" s="9" t="s">
        <v>257</v>
      </c>
      <c r="J82" s="100" t="s">
        <v>300</v>
      </c>
      <c r="K82" s="9" t="str">
        <f t="shared" si="2"/>
        <v>建物附属設備_昇降機設備</v>
      </c>
      <c r="L82" s="100" t="s">
        <v>301</v>
      </c>
      <c r="M82" s="100" t="s">
        <v>216</v>
      </c>
      <c r="N82" s="100" t="s">
        <v>220</v>
      </c>
      <c r="O82" s="100" t="s">
        <v>257</v>
      </c>
      <c r="P82" s="100" t="s">
        <v>297</v>
      </c>
      <c r="Q82" s="100" t="s">
        <v>296</v>
      </c>
      <c r="R82" s="9" t="str">
        <f t="shared" si="3"/>
        <v>建物附属設備_冷房、暖房、通風又はボイラー設備_その他のもの</v>
      </c>
      <c r="S82" s="100">
        <v>15</v>
      </c>
      <c r="AC82" s="9">
        <v>3</v>
      </c>
      <c r="AD82" s="1">
        <v>19</v>
      </c>
      <c r="AG82" s="1">
        <v>81</v>
      </c>
      <c r="AH82" s="1">
        <v>2.5000000000000001E-2</v>
      </c>
      <c r="AI82" s="1">
        <v>1.2999999999999999E-2</v>
      </c>
    </row>
    <row r="83" spans="3:35">
      <c r="C83" s="100"/>
      <c r="D83" s="100"/>
      <c r="E83" s="100"/>
      <c r="F83" s="100"/>
      <c r="G83" s="100"/>
      <c r="H83" s="100"/>
      <c r="I83" s="9" t="s">
        <v>257</v>
      </c>
      <c r="J83" s="9" t="s">
        <v>300</v>
      </c>
      <c r="K83" s="9" t="str">
        <f t="shared" si="2"/>
        <v>建物附属設備_昇降機設備</v>
      </c>
      <c r="L83" s="100" t="s">
        <v>302</v>
      </c>
      <c r="M83" s="100" t="s">
        <v>216</v>
      </c>
      <c r="N83" s="100" t="s">
        <v>220</v>
      </c>
      <c r="O83" s="100" t="s">
        <v>257</v>
      </c>
      <c r="P83" s="100" t="s">
        <v>300</v>
      </c>
      <c r="Q83" s="100" t="s">
        <v>301</v>
      </c>
      <c r="R83" s="9" t="str">
        <f t="shared" si="3"/>
        <v>建物附属設備_昇降機設備_エレベーター</v>
      </c>
      <c r="S83" s="100">
        <v>17</v>
      </c>
      <c r="AC83" s="9">
        <v>3</v>
      </c>
      <c r="AD83" s="1">
        <v>20</v>
      </c>
      <c r="AG83" s="1">
        <v>82</v>
      </c>
      <c r="AH83" s="1">
        <v>2.4E-2</v>
      </c>
      <c r="AI83" s="1">
        <v>1.2999999999999999E-2</v>
      </c>
    </row>
    <row r="84" spans="3:35">
      <c r="C84" s="100"/>
      <c r="D84" s="100"/>
      <c r="E84" s="100"/>
      <c r="F84" s="100"/>
      <c r="G84" s="100"/>
      <c r="H84" s="100"/>
      <c r="I84" s="9" t="s">
        <v>257</v>
      </c>
      <c r="J84" s="100" t="s">
        <v>303</v>
      </c>
      <c r="K84" s="9" t="str">
        <f t="shared" si="2"/>
        <v>建物附属設備_アーケード又は日よけ設備</v>
      </c>
      <c r="L84" s="100" t="s">
        <v>304</v>
      </c>
      <c r="M84" s="100" t="s">
        <v>216</v>
      </c>
      <c r="N84" s="100" t="s">
        <v>220</v>
      </c>
      <c r="O84" s="100" t="s">
        <v>257</v>
      </c>
      <c r="P84" s="100" t="s">
        <v>300</v>
      </c>
      <c r="Q84" s="100" t="s">
        <v>302</v>
      </c>
      <c r="R84" s="9" t="str">
        <f t="shared" si="3"/>
        <v>建物附属設備_昇降機設備_エスカレーター</v>
      </c>
      <c r="S84" s="100">
        <v>15</v>
      </c>
      <c r="AC84" s="9">
        <v>3</v>
      </c>
      <c r="AD84" s="1">
        <v>21</v>
      </c>
      <c r="AG84" s="1">
        <v>83</v>
      </c>
      <c r="AH84" s="1">
        <v>2.4E-2</v>
      </c>
      <c r="AI84" s="1">
        <v>1.2999999999999999E-2</v>
      </c>
    </row>
    <row r="85" spans="3:35">
      <c r="C85" s="100"/>
      <c r="D85" s="100"/>
      <c r="E85" s="100"/>
      <c r="F85" s="100"/>
      <c r="G85" s="100"/>
      <c r="H85" s="100"/>
      <c r="I85" s="9" t="s">
        <v>257</v>
      </c>
      <c r="J85" s="9" t="s">
        <v>303</v>
      </c>
      <c r="K85" s="9" t="str">
        <f t="shared" si="2"/>
        <v>建物附属設備_アーケード又は日よけ設備</v>
      </c>
      <c r="L85" s="100" t="s">
        <v>296</v>
      </c>
      <c r="M85" s="100" t="s">
        <v>216</v>
      </c>
      <c r="N85" s="100" t="s">
        <v>220</v>
      </c>
      <c r="O85" s="100" t="s">
        <v>257</v>
      </c>
      <c r="P85" s="100" t="s">
        <v>305</v>
      </c>
      <c r="Q85" s="100"/>
      <c r="R85" s="9" t="str">
        <f t="shared" si="3"/>
        <v>建物附属設備_消火、排煙又は災害報知設備及び格納式避難設備_</v>
      </c>
      <c r="S85" s="100">
        <v>8</v>
      </c>
      <c r="AC85" s="9">
        <v>3</v>
      </c>
      <c r="AD85" s="1">
        <v>22</v>
      </c>
      <c r="AG85" s="1">
        <v>84</v>
      </c>
      <c r="AH85" s="1">
        <v>2.4E-2</v>
      </c>
      <c r="AI85" s="1">
        <v>1.2E-2</v>
      </c>
    </row>
    <row r="86" spans="3:35">
      <c r="C86" s="100"/>
      <c r="D86" s="100"/>
      <c r="E86" s="100"/>
      <c r="F86" s="100"/>
      <c r="G86" s="100"/>
      <c r="H86" s="100"/>
      <c r="I86" s="9" t="s">
        <v>257</v>
      </c>
      <c r="J86" s="100" t="s">
        <v>306</v>
      </c>
      <c r="K86" s="9" t="str">
        <f t="shared" si="2"/>
        <v>建物附属設備_可動間仕切り</v>
      </c>
      <c r="L86" s="100" t="s">
        <v>307</v>
      </c>
      <c r="M86" s="100" t="s">
        <v>216</v>
      </c>
      <c r="N86" s="100" t="s">
        <v>220</v>
      </c>
      <c r="O86" s="100" t="s">
        <v>257</v>
      </c>
      <c r="P86" s="100" t="s">
        <v>308</v>
      </c>
      <c r="Q86" s="100"/>
      <c r="R86" s="9" t="str">
        <f t="shared" si="3"/>
        <v>建物附属設備_エヤーカーテン又はドアー自動開閉設備_</v>
      </c>
      <c r="S86" s="100">
        <v>12</v>
      </c>
      <c r="AC86" s="9">
        <v>3</v>
      </c>
      <c r="AD86" s="1">
        <v>23</v>
      </c>
      <c r="AG86" s="1">
        <v>85</v>
      </c>
      <c r="AH86" s="1">
        <v>2.4E-2</v>
      </c>
      <c r="AI86" s="1">
        <v>1.2E-2</v>
      </c>
    </row>
    <row r="87" spans="3:35">
      <c r="C87" s="100"/>
      <c r="D87" s="100"/>
      <c r="E87" s="100"/>
      <c r="F87" s="100"/>
      <c r="G87" s="100"/>
      <c r="H87" s="100"/>
      <c r="I87" s="9" t="s">
        <v>257</v>
      </c>
      <c r="J87" s="9" t="s">
        <v>306</v>
      </c>
      <c r="K87" s="9" t="str">
        <f t="shared" si="2"/>
        <v>建物附属設備_可動間仕切り</v>
      </c>
      <c r="L87" s="100" t="s">
        <v>296</v>
      </c>
      <c r="M87" s="100" t="s">
        <v>216</v>
      </c>
      <c r="N87" s="100" t="s">
        <v>220</v>
      </c>
      <c r="O87" s="100" t="s">
        <v>257</v>
      </c>
      <c r="P87" s="100" t="s">
        <v>303</v>
      </c>
      <c r="Q87" s="100" t="s">
        <v>304</v>
      </c>
      <c r="R87" s="9" t="str">
        <f t="shared" si="3"/>
        <v>建物附属設備_アーケード又は日よけ設備_主として金属製のもの</v>
      </c>
      <c r="S87" s="100">
        <v>15</v>
      </c>
      <c r="AC87" s="9">
        <v>3</v>
      </c>
      <c r="AD87" s="1">
        <v>24</v>
      </c>
      <c r="AG87" s="1">
        <v>86</v>
      </c>
      <c r="AH87" s="1">
        <v>2.3E-2</v>
      </c>
      <c r="AI87" s="1">
        <v>1.2E-2</v>
      </c>
    </row>
    <row r="88" spans="3:35">
      <c r="C88" s="100"/>
      <c r="D88" s="100"/>
      <c r="E88" s="100"/>
      <c r="F88" s="100"/>
      <c r="G88" s="100"/>
      <c r="H88" s="100"/>
      <c r="I88" s="9" t="s">
        <v>257</v>
      </c>
      <c r="J88" s="100" t="s">
        <v>309</v>
      </c>
      <c r="K88" s="9" t="str">
        <f t="shared" si="2"/>
        <v>建物附属設備_前掲のもの以外のもの及び前掲の区分によらないもの</v>
      </c>
      <c r="L88" s="100" t="s">
        <v>304</v>
      </c>
      <c r="M88" s="100" t="s">
        <v>216</v>
      </c>
      <c r="N88" s="100" t="s">
        <v>220</v>
      </c>
      <c r="O88" s="100" t="s">
        <v>257</v>
      </c>
      <c r="P88" s="100" t="s">
        <v>303</v>
      </c>
      <c r="Q88" s="100" t="s">
        <v>296</v>
      </c>
      <c r="R88" s="9" t="str">
        <f t="shared" si="3"/>
        <v>建物附属設備_アーケード又は日よけ設備_その他のもの</v>
      </c>
      <c r="S88" s="100">
        <v>8</v>
      </c>
      <c r="AC88" s="9">
        <v>3</v>
      </c>
      <c r="AD88" s="1">
        <v>25</v>
      </c>
      <c r="AG88" s="1">
        <v>87</v>
      </c>
      <c r="AH88" s="1">
        <v>2.3E-2</v>
      </c>
      <c r="AI88" s="1">
        <v>1.2E-2</v>
      </c>
    </row>
    <row r="89" spans="3:35">
      <c r="C89" s="100"/>
      <c r="D89" s="100"/>
      <c r="E89" s="100"/>
      <c r="F89" s="100"/>
      <c r="G89" s="100"/>
      <c r="H89" s="100"/>
      <c r="I89" s="9" t="s">
        <v>257</v>
      </c>
      <c r="J89" s="9" t="s">
        <v>309</v>
      </c>
      <c r="K89" s="9" t="str">
        <f t="shared" si="2"/>
        <v>建物附属設備_前掲のもの以外のもの及び前掲の区分によらないもの</v>
      </c>
      <c r="L89" s="100" t="s">
        <v>296</v>
      </c>
      <c r="M89" s="100" t="s">
        <v>216</v>
      </c>
      <c r="N89" s="100" t="s">
        <v>220</v>
      </c>
      <c r="O89" s="100" t="s">
        <v>257</v>
      </c>
      <c r="P89" s="100" t="s">
        <v>310</v>
      </c>
      <c r="Q89" s="100"/>
      <c r="R89" s="9" t="str">
        <f t="shared" si="3"/>
        <v>建物附属設備_店用簡易装備_</v>
      </c>
      <c r="S89" s="100">
        <v>3</v>
      </c>
      <c r="AC89" s="9">
        <v>3</v>
      </c>
      <c r="AD89" s="1">
        <v>26</v>
      </c>
      <c r="AG89" s="1">
        <v>88</v>
      </c>
      <c r="AH89" s="1">
        <v>2.3E-2</v>
      </c>
      <c r="AI89" s="1">
        <v>1.2E-2</v>
      </c>
    </row>
    <row r="90" spans="3:35">
      <c r="C90" s="100"/>
      <c r="D90" s="100"/>
      <c r="E90" s="100"/>
      <c r="F90" s="100"/>
      <c r="G90" s="100"/>
      <c r="H90" s="100"/>
      <c r="I90" s="100" t="s">
        <v>311</v>
      </c>
      <c r="J90" s="100"/>
      <c r="K90" s="9" t="str">
        <f t="shared" si="2"/>
        <v>別表第六　建物及び建物附属設備／開発研究用減価償却資産_</v>
      </c>
      <c r="L90" s="100" t="s">
        <v>312</v>
      </c>
      <c r="M90" s="100" t="s">
        <v>216</v>
      </c>
      <c r="N90" s="100" t="s">
        <v>220</v>
      </c>
      <c r="O90" s="100" t="s">
        <v>257</v>
      </c>
      <c r="P90" s="100" t="s">
        <v>306</v>
      </c>
      <c r="Q90" s="100" t="s">
        <v>307</v>
      </c>
      <c r="R90" s="9" t="str">
        <f t="shared" si="3"/>
        <v>建物附属設備_可動間仕切り_簡易なもの</v>
      </c>
      <c r="S90" s="100">
        <v>3</v>
      </c>
      <c r="AC90" s="9">
        <v>3</v>
      </c>
      <c r="AD90" s="1">
        <v>27</v>
      </c>
      <c r="AG90" s="1">
        <v>89</v>
      </c>
      <c r="AH90" s="1">
        <v>2.1999999999999999E-2</v>
      </c>
      <c r="AI90" s="1">
        <v>1.2E-2</v>
      </c>
    </row>
    <row r="91" spans="3:35">
      <c r="C91" s="100"/>
      <c r="D91" s="100"/>
      <c r="E91" s="100"/>
      <c r="F91" s="100"/>
      <c r="G91" s="100"/>
      <c r="H91" s="100"/>
      <c r="I91" s="100" t="s">
        <v>277</v>
      </c>
      <c r="J91" s="100" t="s">
        <v>313</v>
      </c>
      <c r="K91" s="9" t="str">
        <f t="shared" si="2"/>
        <v>工具_ロール</v>
      </c>
      <c r="L91" s="100" t="s">
        <v>314</v>
      </c>
      <c r="M91" s="100" t="s">
        <v>216</v>
      </c>
      <c r="N91" s="100" t="s">
        <v>220</v>
      </c>
      <c r="O91" s="100" t="s">
        <v>257</v>
      </c>
      <c r="P91" s="100" t="s">
        <v>306</v>
      </c>
      <c r="Q91" s="100" t="s">
        <v>296</v>
      </c>
      <c r="R91" s="9" t="str">
        <f t="shared" si="3"/>
        <v>建物附属設備_可動間仕切り_その他のもの</v>
      </c>
      <c r="S91" s="100">
        <v>15</v>
      </c>
      <c r="AC91" s="9">
        <v>3</v>
      </c>
      <c r="AD91" s="1">
        <v>28</v>
      </c>
      <c r="AG91" s="1">
        <v>90</v>
      </c>
      <c r="AH91" s="1">
        <v>2.1999999999999999E-2</v>
      </c>
      <c r="AI91" s="1">
        <v>1.2E-2</v>
      </c>
    </row>
    <row r="92" spans="3:35">
      <c r="C92" s="100"/>
      <c r="D92" s="100"/>
      <c r="E92" s="100"/>
      <c r="F92" s="100"/>
      <c r="G92" s="100"/>
      <c r="H92" s="100"/>
      <c r="I92" s="9" t="s">
        <v>277</v>
      </c>
      <c r="J92" s="9" t="s">
        <v>313</v>
      </c>
      <c r="K92" s="9" t="str">
        <f t="shared" si="2"/>
        <v>工具_ロール</v>
      </c>
      <c r="L92" s="100" t="s">
        <v>315</v>
      </c>
      <c r="M92" s="100" t="s">
        <v>216</v>
      </c>
      <c r="N92" s="100" t="s">
        <v>220</v>
      </c>
      <c r="O92" s="100" t="s">
        <v>257</v>
      </c>
      <c r="P92" s="100" t="s">
        <v>309</v>
      </c>
      <c r="Q92" s="100" t="s">
        <v>304</v>
      </c>
      <c r="R92" s="9" t="str">
        <f t="shared" si="3"/>
        <v>建物附属設備_前掲のもの以外のもの及び前掲の区分によらないもの_主として金属製のもの</v>
      </c>
      <c r="S92" s="100">
        <v>18</v>
      </c>
      <c r="AC92" s="9">
        <v>3</v>
      </c>
      <c r="AD92" s="1">
        <v>29</v>
      </c>
      <c r="AG92" s="1">
        <v>91</v>
      </c>
      <c r="AH92" s="1">
        <v>2.1999999999999999E-2</v>
      </c>
      <c r="AI92" s="1">
        <v>1.0999999999999999E-2</v>
      </c>
    </row>
    <row r="93" spans="3:35">
      <c r="C93" s="100"/>
      <c r="D93" s="100"/>
      <c r="E93" s="100"/>
      <c r="F93" s="100"/>
      <c r="G93" s="100"/>
      <c r="H93" s="100"/>
      <c r="I93" s="9" t="s">
        <v>277</v>
      </c>
      <c r="J93" s="100" t="s">
        <v>316</v>
      </c>
      <c r="K93" s="9" t="str">
        <f t="shared" si="2"/>
        <v>工具_型（型枠を含む。）、鍛圧工具及び打抜工具</v>
      </c>
      <c r="L93" s="100" t="s">
        <v>317</v>
      </c>
      <c r="M93" s="100" t="s">
        <v>216</v>
      </c>
      <c r="N93" s="100" t="s">
        <v>220</v>
      </c>
      <c r="O93" s="100" t="s">
        <v>257</v>
      </c>
      <c r="P93" s="100" t="s">
        <v>309</v>
      </c>
      <c r="Q93" s="100" t="s">
        <v>296</v>
      </c>
      <c r="R93" s="9" t="str">
        <f t="shared" si="3"/>
        <v>建物附属設備_前掲のもの以外のもの及び前掲の区分によらないもの_その他のもの</v>
      </c>
      <c r="S93" s="100">
        <v>10</v>
      </c>
      <c r="AC93" s="9">
        <v>3</v>
      </c>
      <c r="AD93" s="1">
        <v>30</v>
      </c>
      <c r="AG93" s="1">
        <v>92</v>
      </c>
      <c r="AH93" s="1">
        <v>2.1999999999999999E-2</v>
      </c>
      <c r="AI93" s="1">
        <v>1.0999999999999999E-2</v>
      </c>
    </row>
    <row r="94" spans="3:35">
      <c r="C94" s="100"/>
      <c r="D94" s="100"/>
      <c r="E94" s="100"/>
      <c r="F94" s="100"/>
      <c r="G94" s="100"/>
      <c r="H94" s="100"/>
      <c r="I94" s="9" t="s">
        <v>277</v>
      </c>
      <c r="J94" s="9" t="s">
        <v>316</v>
      </c>
      <c r="K94" s="9" t="str">
        <f t="shared" si="2"/>
        <v>工具_型（型枠を含む。）、鍛圧工具及び打抜工具</v>
      </c>
      <c r="L94" s="100" t="s">
        <v>296</v>
      </c>
      <c r="M94" s="100" t="s">
        <v>216</v>
      </c>
      <c r="N94" s="100" t="s">
        <v>220</v>
      </c>
      <c r="O94" s="100" t="s">
        <v>311</v>
      </c>
      <c r="P94" s="100"/>
      <c r="Q94" s="100" t="s">
        <v>312</v>
      </c>
      <c r="R94" s="9" t="str">
        <f t="shared" si="3"/>
        <v>別表第六　建物及び建物附属設備／開発研究用減価償却資産__建物の全部又は一部を低温室、恒温室、無響室、電磁しやへい室、放射性同位元素取扱室その他の特殊室にするために特に施設した内部造作又は建物附属設備</v>
      </c>
      <c r="S94" s="100">
        <v>5</v>
      </c>
      <c r="AC94" s="1">
        <v>4</v>
      </c>
      <c r="AD94" s="122" t="s">
        <v>161</v>
      </c>
      <c r="AG94" s="1">
        <v>93</v>
      </c>
      <c r="AH94" s="1">
        <v>2.1999999999999999E-2</v>
      </c>
      <c r="AI94" s="1">
        <v>1.0999999999999999E-2</v>
      </c>
    </row>
    <row r="95" spans="3:35">
      <c r="C95" s="100"/>
      <c r="D95" s="100"/>
      <c r="E95" s="100"/>
      <c r="F95" s="100"/>
      <c r="G95" s="100"/>
      <c r="H95" s="100"/>
      <c r="I95" s="9" t="s">
        <v>277</v>
      </c>
      <c r="J95" s="100" t="s">
        <v>318</v>
      </c>
      <c r="K95" s="9" t="str">
        <f t="shared" si="2"/>
        <v>工具_活字及び活字に常用される金属</v>
      </c>
      <c r="L95" s="100" t="s">
        <v>319</v>
      </c>
      <c r="M95" s="100" t="s">
        <v>216</v>
      </c>
      <c r="N95" s="100" t="s">
        <v>227</v>
      </c>
      <c r="O95" s="100" t="s">
        <v>277</v>
      </c>
      <c r="P95" s="100" t="s">
        <v>320</v>
      </c>
      <c r="Q95" s="100"/>
      <c r="R95" s="9" t="str">
        <f t="shared" si="3"/>
        <v>工具_測定工具及び検査工具（電気又は電子を利用するものを含む。）_</v>
      </c>
      <c r="S95" s="100">
        <v>5</v>
      </c>
      <c r="AC95" s="9">
        <v>4</v>
      </c>
      <c r="AD95" s="1">
        <v>1</v>
      </c>
      <c r="AG95" s="1">
        <v>94</v>
      </c>
      <c r="AH95" s="1">
        <v>2.1000000000000001E-2</v>
      </c>
      <c r="AI95" s="1">
        <v>1.0999999999999999E-2</v>
      </c>
    </row>
    <row r="96" spans="3:35">
      <c r="C96" s="100"/>
      <c r="D96" s="100"/>
      <c r="E96" s="100"/>
      <c r="F96" s="100"/>
      <c r="G96" s="100"/>
      <c r="H96" s="100"/>
      <c r="I96" s="9" t="s">
        <v>277</v>
      </c>
      <c r="J96" s="9" t="s">
        <v>318</v>
      </c>
      <c r="K96" s="9" t="str">
        <f t="shared" si="2"/>
        <v>工具_活字及び活字に常用される金属</v>
      </c>
      <c r="L96" s="100" t="s">
        <v>321</v>
      </c>
      <c r="M96" s="100" t="s">
        <v>216</v>
      </c>
      <c r="N96" s="100" t="s">
        <v>227</v>
      </c>
      <c r="O96" s="100" t="s">
        <v>277</v>
      </c>
      <c r="P96" s="100" t="s">
        <v>322</v>
      </c>
      <c r="Q96" s="100"/>
      <c r="R96" s="9" t="str">
        <f t="shared" si="3"/>
        <v>工具_治具及び取付工具_</v>
      </c>
      <c r="S96" s="100">
        <v>3</v>
      </c>
      <c r="AC96" s="9">
        <v>4</v>
      </c>
      <c r="AD96" s="1">
        <v>2</v>
      </c>
      <c r="AG96" s="1">
        <v>95</v>
      </c>
      <c r="AH96" s="1">
        <v>2.1000000000000001E-2</v>
      </c>
      <c r="AI96" s="1">
        <v>1.0999999999999999E-2</v>
      </c>
    </row>
    <row r="97" spans="3:35">
      <c r="C97" s="100"/>
      <c r="D97" s="100"/>
      <c r="E97" s="100"/>
      <c r="F97" s="100"/>
      <c r="G97" s="100"/>
      <c r="H97" s="100"/>
      <c r="I97" s="9" t="s">
        <v>277</v>
      </c>
      <c r="J97" s="100" t="s">
        <v>323</v>
      </c>
      <c r="K97" s="9" t="str">
        <f t="shared" si="2"/>
        <v>工具_前掲のもの以外のもの</v>
      </c>
      <c r="L97" s="100" t="s">
        <v>324</v>
      </c>
      <c r="M97" s="100" t="s">
        <v>216</v>
      </c>
      <c r="N97" s="100" t="s">
        <v>227</v>
      </c>
      <c r="O97" s="100" t="s">
        <v>277</v>
      </c>
      <c r="P97" s="100" t="s">
        <v>313</v>
      </c>
      <c r="Q97" s="100" t="s">
        <v>314</v>
      </c>
      <c r="R97" s="9" t="str">
        <f t="shared" si="3"/>
        <v>工具_ロール_金属圧延用のもの</v>
      </c>
      <c r="S97" s="100">
        <v>4</v>
      </c>
      <c r="AC97" s="9">
        <v>4</v>
      </c>
      <c r="AD97" s="1">
        <v>3</v>
      </c>
      <c r="AG97" s="1">
        <v>96</v>
      </c>
      <c r="AH97" s="1">
        <v>2.1000000000000001E-2</v>
      </c>
      <c r="AI97" s="1">
        <v>1.0999999999999999E-2</v>
      </c>
    </row>
    <row r="98" spans="3:35">
      <c r="C98" s="100"/>
      <c r="D98" s="100"/>
      <c r="E98" s="100"/>
      <c r="F98" s="100"/>
      <c r="G98" s="100"/>
      <c r="H98" s="100"/>
      <c r="I98" s="9" t="s">
        <v>277</v>
      </c>
      <c r="J98" s="9" t="s">
        <v>323</v>
      </c>
      <c r="K98" s="9" t="str">
        <f t="shared" si="2"/>
        <v>工具_前掲のもの以外のもの</v>
      </c>
      <c r="L98" s="100" t="s">
        <v>296</v>
      </c>
      <c r="M98" s="100" t="s">
        <v>216</v>
      </c>
      <c r="N98" s="100" t="s">
        <v>227</v>
      </c>
      <c r="O98" s="100" t="s">
        <v>277</v>
      </c>
      <c r="P98" s="100" t="s">
        <v>313</v>
      </c>
      <c r="Q98" s="100" t="s">
        <v>315</v>
      </c>
      <c r="R98" s="9" t="str">
        <f t="shared" si="3"/>
        <v>工具_ロール_なつ染ロール、粉砕ロール、混練ロールその他のもの</v>
      </c>
      <c r="S98" s="100">
        <v>3</v>
      </c>
      <c r="AC98" s="9">
        <v>4</v>
      </c>
      <c r="AD98" s="1">
        <v>4</v>
      </c>
      <c r="AG98" s="1">
        <v>97</v>
      </c>
      <c r="AH98" s="1">
        <v>2.1000000000000001E-2</v>
      </c>
      <c r="AI98" s="1">
        <v>1.0999999999999999E-2</v>
      </c>
    </row>
    <row r="99" spans="3:35">
      <c r="C99" s="100"/>
      <c r="D99" s="100"/>
      <c r="E99" s="100"/>
      <c r="F99" s="100"/>
      <c r="G99" s="100"/>
      <c r="H99" s="100"/>
      <c r="I99" s="9" t="s">
        <v>277</v>
      </c>
      <c r="J99" s="100" t="s">
        <v>325</v>
      </c>
      <c r="K99" s="9" t="str">
        <f t="shared" si="2"/>
        <v>工具_前掲の区分によらないもの</v>
      </c>
      <c r="L99" s="100" t="s">
        <v>324</v>
      </c>
      <c r="M99" s="100" t="s">
        <v>216</v>
      </c>
      <c r="N99" s="100" t="s">
        <v>227</v>
      </c>
      <c r="O99" s="100" t="s">
        <v>277</v>
      </c>
      <c r="P99" s="100" t="s">
        <v>316</v>
      </c>
      <c r="Q99" s="100" t="s">
        <v>317</v>
      </c>
      <c r="R99" s="9" t="str">
        <f t="shared" si="3"/>
        <v>工具_型（型枠を含む。）、鍛圧工具及び打抜工具_プレスその他の金属加工用金型、合成樹脂、ゴム又はガラス成型用金型及び鋳造用型</v>
      </c>
      <c r="S99" s="100">
        <v>2</v>
      </c>
      <c r="AC99" s="9">
        <v>4</v>
      </c>
      <c r="AD99" s="1">
        <v>5</v>
      </c>
      <c r="AG99" s="1">
        <v>98</v>
      </c>
      <c r="AH99" s="1">
        <v>0.02</v>
      </c>
      <c r="AI99" s="1">
        <v>1.0999999999999999E-2</v>
      </c>
    </row>
    <row r="100" spans="3:35">
      <c r="C100" s="100"/>
      <c r="D100" s="100"/>
      <c r="E100" s="100"/>
      <c r="F100" s="100"/>
      <c r="G100" s="100"/>
      <c r="H100" s="100"/>
      <c r="I100" s="9" t="s">
        <v>277</v>
      </c>
      <c r="J100" s="9" t="s">
        <v>325</v>
      </c>
      <c r="K100" s="9" t="str">
        <f t="shared" si="2"/>
        <v>工具_前掲の区分によらないもの</v>
      </c>
      <c r="L100" s="100" t="s">
        <v>326</v>
      </c>
      <c r="M100" s="100" t="s">
        <v>216</v>
      </c>
      <c r="N100" s="100" t="s">
        <v>227</v>
      </c>
      <c r="O100" s="100" t="s">
        <v>277</v>
      </c>
      <c r="P100" s="100" t="s">
        <v>316</v>
      </c>
      <c r="Q100" s="100" t="s">
        <v>296</v>
      </c>
      <c r="R100" s="9" t="str">
        <f t="shared" si="3"/>
        <v>工具_型（型枠を含む。）、鍛圧工具及び打抜工具_その他のもの</v>
      </c>
      <c r="S100" s="100">
        <v>3</v>
      </c>
      <c r="AC100" s="9">
        <v>4</v>
      </c>
      <c r="AD100" s="1">
        <v>6</v>
      </c>
      <c r="AG100" s="1">
        <v>99</v>
      </c>
      <c r="AH100" s="1">
        <v>0.02</v>
      </c>
      <c r="AI100" s="1">
        <v>1.0999999999999999E-2</v>
      </c>
    </row>
    <row r="101" spans="3:35">
      <c r="C101" s="100"/>
      <c r="D101" s="100"/>
      <c r="E101" s="100"/>
      <c r="F101" s="100"/>
      <c r="G101" s="100"/>
      <c r="H101" s="100"/>
      <c r="I101" s="9" t="s">
        <v>277</v>
      </c>
      <c r="J101" s="9" t="s">
        <v>325</v>
      </c>
      <c r="K101" s="9" t="str">
        <f t="shared" si="2"/>
        <v>工具_前掲の区分によらないもの</v>
      </c>
      <c r="L101" s="100" t="s">
        <v>296</v>
      </c>
      <c r="M101" s="100" t="s">
        <v>216</v>
      </c>
      <c r="N101" s="100" t="s">
        <v>227</v>
      </c>
      <c r="O101" s="100" t="s">
        <v>277</v>
      </c>
      <c r="P101" s="100" t="s">
        <v>327</v>
      </c>
      <c r="Q101" s="100"/>
      <c r="R101" s="9" t="str">
        <f t="shared" si="3"/>
        <v>工具_切削工具_</v>
      </c>
      <c r="S101" s="100">
        <v>2</v>
      </c>
      <c r="AC101" s="9">
        <v>4</v>
      </c>
      <c r="AD101" s="1">
        <v>7</v>
      </c>
      <c r="AG101" s="1">
        <v>100</v>
      </c>
      <c r="AH101" s="1">
        <v>0.02</v>
      </c>
      <c r="AI101" s="1">
        <v>0.01</v>
      </c>
    </row>
    <row r="102" spans="3:35">
      <c r="C102" s="100"/>
      <c r="D102" s="100"/>
      <c r="E102" s="100"/>
      <c r="F102" s="100"/>
      <c r="G102" s="100"/>
      <c r="H102" s="100"/>
      <c r="I102" s="100" t="s">
        <v>283</v>
      </c>
      <c r="J102" s="100" t="s">
        <v>328</v>
      </c>
      <c r="K102" s="9" t="str">
        <f t="shared" si="2"/>
        <v>器具及び備品_１　家具、電気機器、ガス機器及び家庭用品（他の項に掲げるものを除く。）</v>
      </c>
      <c r="L102" s="100" t="s">
        <v>329</v>
      </c>
      <c r="M102" s="100" t="s">
        <v>216</v>
      </c>
      <c r="N102" s="100" t="s">
        <v>227</v>
      </c>
      <c r="O102" s="100" t="s">
        <v>277</v>
      </c>
      <c r="P102" s="100" t="s">
        <v>330</v>
      </c>
      <c r="Q102" s="100"/>
      <c r="R102" s="9" t="str">
        <f t="shared" si="3"/>
        <v>工具_金属製柱及びカッペ_</v>
      </c>
      <c r="S102" s="100">
        <v>3</v>
      </c>
      <c r="AC102" s="9">
        <v>4</v>
      </c>
      <c r="AD102" s="1">
        <v>8</v>
      </c>
    </row>
    <row r="103" spans="3:35">
      <c r="C103" s="100"/>
      <c r="D103" s="100"/>
      <c r="E103" s="100"/>
      <c r="F103" s="100"/>
      <c r="G103" s="100"/>
      <c r="H103" s="100"/>
      <c r="I103" s="9" t="s">
        <v>283</v>
      </c>
      <c r="J103" s="9" t="s">
        <v>328</v>
      </c>
      <c r="K103" s="9" t="str">
        <f t="shared" si="2"/>
        <v>器具及び備品_１　家具、電気機器、ガス機器及び家庭用品（他の項に掲げるものを除く。）</v>
      </c>
      <c r="L103" s="100" t="s">
        <v>331</v>
      </c>
      <c r="M103" s="100" t="s">
        <v>216</v>
      </c>
      <c r="N103" s="100" t="s">
        <v>227</v>
      </c>
      <c r="O103" s="100" t="s">
        <v>277</v>
      </c>
      <c r="P103" s="100" t="s">
        <v>318</v>
      </c>
      <c r="Q103" s="100" t="s">
        <v>319</v>
      </c>
      <c r="R103" s="9" t="str">
        <f t="shared" si="3"/>
        <v>工具_活字及び活字に常用される金属_購入活字（活字の形状のまま反復使用するものに限る。）</v>
      </c>
      <c r="S103" s="100">
        <v>2</v>
      </c>
      <c r="AC103" s="9">
        <v>4</v>
      </c>
      <c r="AD103" s="1">
        <v>9</v>
      </c>
    </row>
    <row r="104" spans="3:35">
      <c r="C104" s="100"/>
      <c r="D104" s="100"/>
      <c r="E104" s="100"/>
      <c r="F104" s="100"/>
      <c r="G104" s="100"/>
      <c r="H104" s="100"/>
      <c r="I104" s="9" t="s">
        <v>283</v>
      </c>
      <c r="J104" s="9" t="s">
        <v>328</v>
      </c>
      <c r="K104" s="9" t="str">
        <f t="shared" si="2"/>
        <v>器具及び備品_１　家具、電気機器、ガス機器及び家庭用品（他の項に掲げるものを除く。）</v>
      </c>
      <c r="L104" s="100" t="s">
        <v>332</v>
      </c>
      <c r="M104" s="100" t="s">
        <v>216</v>
      </c>
      <c r="N104" s="100" t="s">
        <v>227</v>
      </c>
      <c r="O104" s="100" t="s">
        <v>277</v>
      </c>
      <c r="P104" s="100" t="s">
        <v>318</v>
      </c>
      <c r="Q104" s="100" t="s">
        <v>321</v>
      </c>
      <c r="R104" s="9" t="str">
        <f t="shared" si="3"/>
        <v>工具_活字及び活字に常用される金属_自製活字及び活字に常用される金属</v>
      </c>
      <c r="S104" s="100">
        <v>8</v>
      </c>
      <c r="AC104" s="9">
        <v>4</v>
      </c>
      <c r="AD104" s="1">
        <v>10</v>
      </c>
    </row>
    <row r="105" spans="3:35">
      <c r="C105" s="100"/>
      <c r="D105" s="100"/>
      <c r="E105" s="100"/>
      <c r="F105" s="100"/>
      <c r="G105" s="100"/>
      <c r="H105" s="100"/>
      <c r="I105" s="9" t="s">
        <v>283</v>
      </c>
      <c r="J105" s="9" t="s">
        <v>328</v>
      </c>
      <c r="K105" s="9" t="str">
        <f t="shared" si="2"/>
        <v>器具及び備品_１　家具、電気機器、ガス機器及び家庭用品（他の項に掲げるものを除く。）</v>
      </c>
      <c r="L105" s="100" t="s">
        <v>333</v>
      </c>
      <c r="M105" s="100" t="s">
        <v>216</v>
      </c>
      <c r="N105" s="100" t="s">
        <v>227</v>
      </c>
      <c r="O105" s="100" t="s">
        <v>277</v>
      </c>
      <c r="P105" s="100" t="s">
        <v>323</v>
      </c>
      <c r="Q105" s="100" t="s">
        <v>324</v>
      </c>
      <c r="R105" s="9" t="str">
        <f t="shared" si="3"/>
        <v>工具_前掲のもの以外のもの_白金ノズル</v>
      </c>
      <c r="S105" s="100">
        <v>13</v>
      </c>
      <c r="AC105" s="9">
        <v>4</v>
      </c>
      <c r="AD105" s="1">
        <v>11</v>
      </c>
    </row>
    <row r="106" spans="3:35">
      <c r="C106" s="100"/>
      <c r="D106" s="100"/>
      <c r="E106" s="100"/>
      <c r="F106" s="100"/>
      <c r="G106" s="100"/>
      <c r="H106" s="100"/>
      <c r="I106" s="9" t="s">
        <v>283</v>
      </c>
      <c r="J106" s="9" t="s">
        <v>328</v>
      </c>
      <c r="K106" s="9" t="str">
        <f t="shared" si="2"/>
        <v>器具及び備品_１　家具、電気機器、ガス機器及び家庭用品（他の項に掲げるものを除く。）</v>
      </c>
      <c r="L106" s="100" t="s">
        <v>334</v>
      </c>
      <c r="M106" s="100" t="s">
        <v>216</v>
      </c>
      <c r="N106" s="100" t="s">
        <v>227</v>
      </c>
      <c r="O106" s="100" t="s">
        <v>277</v>
      </c>
      <c r="P106" s="100" t="s">
        <v>323</v>
      </c>
      <c r="Q106" s="100" t="s">
        <v>296</v>
      </c>
      <c r="R106" s="9" t="str">
        <f t="shared" si="3"/>
        <v>工具_前掲のもの以外のもの_その他のもの</v>
      </c>
      <c r="S106" s="100">
        <v>3</v>
      </c>
      <c r="AC106" s="9">
        <v>4</v>
      </c>
      <c r="AD106" s="1">
        <v>12</v>
      </c>
    </row>
    <row r="107" spans="3:35">
      <c r="C107" s="100"/>
      <c r="D107" s="100"/>
      <c r="E107" s="100"/>
      <c r="F107" s="100"/>
      <c r="G107" s="100"/>
      <c r="H107" s="100"/>
      <c r="I107" s="9" t="s">
        <v>283</v>
      </c>
      <c r="J107" s="9" t="s">
        <v>328</v>
      </c>
      <c r="K107" s="9" t="str">
        <f t="shared" si="2"/>
        <v>器具及び備品_１　家具、電気機器、ガス機器及び家庭用品（他の項に掲げるものを除く。）</v>
      </c>
      <c r="L107" s="100" t="s">
        <v>335</v>
      </c>
      <c r="M107" s="100" t="s">
        <v>216</v>
      </c>
      <c r="N107" s="100" t="s">
        <v>227</v>
      </c>
      <c r="O107" s="100" t="s">
        <v>277</v>
      </c>
      <c r="P107" s="100" t="s">
        <v>325</v>
      </c>
      <c r="Q107" s="100" t="s">
        <v>324</v>
      </c>
      <c r="R107" s="9" t="str">
        <f t="shared" si="3"/>
        <v>工具_前掲の区分によらないもの_白金ノズル</v>
      </c>
      <c r="S107" s="100">
        <v>13</v>
      </c>
      <c r="AC107" s="9">
        <v>4</v>
      </c>
      <c r="AD107" s="1">
        <v>13</v>
      </c>
    </row>
    <row r="108" spans="3:35">
      <c r="C108" s="100"/>
      <c r="D108" s="100"/>
      <c r="E108" s="100"/>
      <c r="F108" s="100"/>
      <c r="G108" s="100"/>
      <c r="H108" s="100"/>
      <c r="I108" s="9" t="s">
        <v>283</v>
      </c>
      <c r="J108" s="9" t="s">
        <v>328</v>
      </c>
      <c r="K108" s="9" t="str">
        <f t="shared" si="2"/>
        <v>器具及び備品_１　家具、電気機器、ガス機器及び家庭用品（他の項に掲げるものを除く。）</v>
      </c>
      <c r="L108" s="100" t="s">
        <v>336</v>
      </c>
      <c r="M108" s="100" t="s">
        <v>216</v>
      </c>
      <c r="N108" s="100" t="s">
        <v>227</v>
      </c>
      <c r="O108" s="100" t="s">
        <v>277</v>
      </c>
      <c r="P108" s="100" t="s">
        <v>325</v>
      </c>
      <c r="Q108" s="100" t="s">
        <v>326</v>
      </c>
      <c r="R108" s="9" t="str">
        <f t="shared" si="3"/>
        <v>工具_前掲の区分によらないもの_その他の主として金属製のもの</v>
      </c>
      <c r="S108" s="100">
        <v>8</v>
      </c>
      <c r="AC108" s="9">
        <v>4</v>
      </c>
      <c r="AD108" s="1">
        <v>14</v>
      </c>
    </row>
    <row r="109" spans="3:35">
      <c r="C109" s="100"/>
      <c r="D109" s="100"/>
      <c r="E109" s="100"/>
      <c r="F109" s="100"/>
      <c r="G109" s="100"/>
      <c r="H109" s="100"/>
      <c r="I109" s="9" t="s">
        <v>283</v>
      </c>
      <c r="J109" s="9" t="s">
        <v>328</v>
      </c>
      <c r="K109" s="9" t="str">
        <f t="shared" si="2"/>
        <v>器具及び備品_１　家具、電気機器、ガス機器及び家庭用品（他の項に掲げるものを除く。）</v>
      </c>
      <c r="L109" s="100" t="s">
        <v>337</v>
      </c>
      <c r="M109" s="100" t="s">
        <v>216</v>
      </c>
      <c r="N109" s="100" t="s">
        <v>227</v>
      </c>
      <c r="O109" s="100" t="s">
        <v>277</v>
      </c>
      <c r="P109" s="100" t="s">
        <v>325</v>
      </c>
      <c r="Q109" s="100" t="s">
        <v>296</v>
      </c>
      <c r="R109" s="9" t="str">
        <f t="shared" si="3"/>
        <v>工具_前掲の区分によらないもの_その他のもの</v>
      </c>
      <c r="S109" s="100">
        <v>4</v>
      </c>
      <c r="AC109" s="9">
        <v>4</v>
      </c>
      <c r="AD109" s="1">
        <v>15</v>
      </c>
    </row>
    <row r="110" spans="3:35">
      <c r="C110" s="100"/>
      <c r="D110" s="100"/>
      <c r="E110" s="100"/>
      <c r="F110" s="100"/>
      <c r="G110" s="100"/>
      <c r="H110" s="100"/>
      <c r="I110" s="9" t="s">
        <v>283</v>
      </c>
      <c r="J110" s="9" t="s">
        <v>328</v>
      </c>
      <c r="K110" s="9" t="str">
        <f t="shared" si="2"/>
        <v>器具及び備品_１　家具、電気機器、ガス機器及び家庭用品（他の項に掲げるものを除く。）</v>
      </c>
      <c r="L110" s="100" t="s">
        <v>338</v>
      </c>
      <c r="M110" s="100" t="s">
        <v>216</v>
      </c>
      <c r="N110" s="100" t="s">
        <v>227</v>
      </c>
      <c r="O110" s="100" t="s">
        <v>339</v>
      </c>
      <c r="P110" s="100"/>
      <c r="Q110" s="100"/>
      <c r="R110" s="9" t="str">
        <f t="shared" si="3"/>
        <v>別表第六　工具／開発研究用減価償却資産__</v>
      </c>
      <c r="S110" s="100">
        <v>4</v>
      </c>
      <c r="AC110" s="9">
        <v>4</v>
      </c>
      <c r="AD110" s="1">
        <v>16</v>
      </c>
    </row>
    <row r="111" spans="3:35">
      <c r="C111" s="100"/>
      <c r="D111" s="100"/>
      <c r="E111" s="100"/>
      <c r="F111" s="100"/>
      <c r="G111" s="100"/>
      <c r="H111" s="100"/>
      <c r="I111" s="9" t="s">
        <v>283</v>
      </c>
      <c r="J111" s="9" t="s">
        <v>328</v>
      </c>
      <c r="K111" s="9" t="str">
        <f t="shared" si="2"/>
        <v>器具及び備品_１　家具、電気機器、ガス機器及び家庭用品（他の項に掲げるものを除く。）</v>
      </c>
      <c r="L111" s="100" t="s">
        <v>340</v>
      </c>
      <c r="M111" s="100" t="s">
        <v>216</v>
      </c>
      <c r="N111" s="100" t="s">
        <v>227</v>
      </c>
      <c r="O111" s="100" t="s">
        <v>283</v>
      </c>
      <c r="P111" s="100" t="s">
        <v>328</v>
      </c>
      <c r="Q111" s="100" t="s">
        <v>329</v>
      </c>
      <c r="R111" s="9" t="str">
        <f t="shared" si="3"/>
        <v>器具及び備品_１　家具、電気機器、ガス機器及び家庭用品（他の項に掲げるものを除く。）_事務机、事務いす及びキャビネット　主として金属製のもの</v>
      </c>
      <c r="S111" s="100">
        <v>15</v>
      </c>
      <c r="AC111" s="9">
        <v>4</v>
      </c>
      <c r="AD111" s="1">
        <v>17</v>
      </c>
    </row>
    <row r="112" spans="3:35">
      <c r="C112" s="100"/>
      <c r="D112" s="100"/>
      <c r="E112" s="100"/>
      <c r="F112" s="100"/>
      <c r="G112" s="100"/>
      <c r="H112" s="100"/>
      <c r="I112" s="9" t="s">
        <v>283</v>
      </c>
      <c r="J112" s="9" t="s">
        <v>328</v>
      </c>
      <c r="K112" s="9" t="str">
        <f t="shared" si="2"/>
        <v>器具及び備品_１　家具、電気機器、ガス機器及び家庭用品（他の項に掲げるものを除く。）</v>
      </c>
      <c r="L112" s="100" t="s">
        <v>341</v>
      </c>
      <c r="M112" s="100" t="s">
        <v>216</v>
      </c>
      <c r="N112" s="100" t="s">
        <v>227</v>
      </c>
      <c r="O112" s="100" t="s">
        <v>283</v>
      </c>
      <c r="P112" s="100" t="s">
        <v>328</v>
      </c>
      <c r="Q112" s="100" t="s">
        <v>331</v>
      </c>
      <c r="R112" s="9" t="str">
        <f t="shared" si="3"/>
        <v>器具及び備品_１　家具、電気機器、ガス機器及び家庭用品（他の項に掲げるものを除く。）_事務机、事務いす及びキャビネット　その他のもの</v>
      </c>
      <c r="S112" s="100">
        <v>8</v>
      </c>
      <c r="AC112" s="9">
        <v>4</v>
      </c>
      <c r="AD112" s="1">
        <v>18</v>
      </c>
    </row>
    <row r="113" spans="3:30">
      <c r="C113" s="100"/>
      <c r="D113" s="100"/>
      <c r="E113" s="100"/>
      <c r="F113" s="100"/>
      <c r="G113" s="100"/>
      <c r="H113" s="100"/>
      <c r="I113" s="9" t="s">
        <v>283</v>
      </c>
      <c r="J113" s="9" t="s">
        <v>328</v>
      </c>
      <c r="K113" s="9" t="str">
        <f t="shared" si="2"/>
        <v>器具及び備品_１　家具、電気機器、ガス機器及び家庭用品（他の項に掲げるものを除く。）</v>
      </c>
      <c r="L113" s="100" t="s">
        <v>342</v>
      </c>
      <c r="M113" s="100" t="s">
        <v>216</v>
      </c>
      <c r="N113" s="100" t="s">
        <v>227</v>
      </c>
      <c r="O113" s="100" t="s">
        <v>283</v>
      </c>
      <c r="P113" s="100" t="s">
        <v>328</v>
      </c>
      <c r="Q113" s="100" t="s">
        <v>332</v>
      </c>
      <c r="R113" s="9" t="str">
        <f t="shared" si="3"/>
        <v>器具及び備品_１　家具、電気機器、ガス機器及び家庭用品（他の項に掲げるものを除く。）_応接セット　接客業用のもの</v>
      </c>
      <c r="S113" s="100">
        <v>5</v>
      </c>
      <c r="AC113" s="9">
        <v>4</v>
      </c>
      <c r="AD113" s="1">
        <v>19</v>
      </c>
    </row>
    <row r="114" spans="3:30">
      <c r="C114" s="100"/>
      <c r="D114" s="100"/>
      <c r="E114" s="100"/>
      <c r="F114" s="100"/>
      <c r="G114" s="100"/>
      <c r="H114" s="100"/>
      <c r="I114" s="9" t="s">
        <v>283</v>
      </c>
      <c r="J114" s="9" t="s">
        <v>328</v>
      </c>
      <c r="K114" s="9" t="str">
        <f t="shared" si="2"/>
        <v>器具及び備品_１　家具、電気機器、ガス機器及び家庭用品（他の項に掲げるものを除く。）</v>
      </c>
      <c r="L114" s="100" t="s">
        <v>343</v>
      </c>
      <c r="M114" s="100" t="s">
        <v>216</v>
      </c>
      <c r="N114" s="100" t="s">
        <v>227</v>
      </c>
      <c r="O114" s="100" t="s">
        <v>283</v>
      </c>
      <c r="P114" s="100" t="s">
        <v>328</v>
      </c>
      <c r="Q114" s="100" t="s">
        <v>333</v>
      </c>
      <c r="R114" s="9" t="str">
        <f t="shared" si="3"/>
        <v>器具及び備品_１　家具、電気機器、ガス機器及び家庭用品（他の項に掲げるものを除く。）_応接セット　その他のもの</v>
      </c>
      <c r="S114" s="100">
        <v>8</v>
      </c>
      <c r="AC114" s="9">
        <v>4</v>
      </c>
      <c r="AD114" s="1">
        <v>20</v>
      </c>
    </row>
    <row r="115" spans="3:30">
      <c r="C115" s="100"/>
      <c r="D115" s="100"/>
      <c r="E115" s="100"/>
      <c r="F115" s="100"/>
      <c r="G115" s="100"/>
      <c r="H115" s="100"/>
      <c r="I115" s="9" t="s">
        <v>283</v>
      </c>
      <c r="J115" s="9" t="s">
        <v>328</v>
      </c>
      <c r="K115" s="9" t="str">
        <f t="shared" si="2"/>
        <v>器具及び備品_１　家具、電気機器、ガス機器及び家庭用品（他の項に掲げるものを除く。）</v>
      </c>
      <c r="L115" s="100" t="s">
        <v>344</v>
      </c>
      <c r="M115" s="100" t="s">
        <v>216</v>
      </c>
      <c r="N115" s="100" t="s">
        <v>227</v>
      </c>
      <c r="O115" s="100" t="s">
        <v>283</v>
      </c>
      <c r="P115" s="100" t="s">
        <v>328</v>
      </c>
      <c r="Q115" s="100" t="s">
        <v>334</v>
      </c>
      <c r="R115" s="9" t="str">
        <f t="shared" si="3"/>
        <v>器具及び備品_１　家具、電気機器、ガス機器及び家庭用品（他の項に掲げるものを除く。）_ベッド</v>
      </c>
      <c r="S115" s="100">
        <v>8</v>
      </c>
      <c r="AC115" s="9">
        <v>4</v>
      </c>
      <c r="AD115" s="1">
        <v>21</v>
      </c>
    </row>
    <row r="116" spans="3:30">
      <c r="C116" s="100"/>
      <c r="D116" s="100"/>
      <c r="E116" s="100"/>
      <c r="F116" s="100"/>
      <c r="G116" s="100"/>
      <c r="H116" s="100"/>
      <c r="I116" s="9" t="s">
        <v>283</v>
      </c>
      <c r="J116" s="9" t="s">
        <v>328</v>
      </c>
      <c r="K116" s="9" t="str">
        <f t="shared" si="2"/>
        <v>器具及び備品_１　家具、電気機器、ガス機器及び家庭用品（他の項に掲げるものを除く。）</v>
      </c>
      <c r="L116" s="100" t="s">
        <v>345</v>
      </c>
      <c r="M116" s="100" t="s">
        <v>216</v>
      </c>
      <c r="N116" s="100" t="s">
        <v>227</v>
      </c>
      <c r="O116" s="100" t="s">
        <v>283</v>
      </c>
      <c r="P116" s="100" t="s">
        <v>328</v>
      </c>
      <c r="Q116" s="100" t="s">
        <v>335</v>
      </c>
      <c r="R116" s="9" t="str">
        <f t="shared" si="3"/>
        <v>器具及び備品_１　家具、電気機器、ガス機器及び家庭用品（他の項に掲げるものを除く。）_児童用机及びいす</v>
      </c>
      <c r="S116" s="100">
        <v>5</v>
      </c>
      <c r="AC116" s="9">
        <v>4</v>
      </c>
      <c r="AD116" s="1">
        <v>22</v>
      </c>
    </row>
    <row r="117" spans="3:30">
      <c r="C117" s="100"/>
      <c r="D117" s="100"/>
      <c r="E117" s="100"/>
      <c r="F117" s="100"/>
      <c r="G117" s="100"/>
      <c r="H117" s="100"/>
      <c r="I117" s="9" t="s">
        <v>283</v>
      </c>
      <c r="J117" s="9" t="s">
        <v>328</v>
      </c>
      <c r="K117" s="9" t="str">
        <f t="shared" si="2"/>
        <v>器具及び備品_１　家具、電気機器、ガス機器及び家庭用品（他の項に掲げるものを除く。）</v>
      </c>
      <c r="L117" s="100" t="s">
        <v>346</v>
      </c>
      <c r="M117" s="100" t="s">
        <v>216</v>
      </c>
      <c r="N117" s="100" t="s">
        <v>227</v>
      </c>
      <c r="O117" s="100" t="s">
        <v>283</v>
      </c>
      <c r="P117" s="100" t="s">
        <v>328</v>
      </c>
      <c r="Q117" s="100" t="s">
        <v>336</v>
      </c>
      <c r="R117" s="9" t="str">
        <f t="shared" si="3"/>
        <v>器具及び備品_１　家具、電気機器、ガス機器及び家庭用品（他の項に掲げるものを除く。）_陳列だな及び陳列ケース　冷凍機付又は冷蔵機付のもの</v>
      </c>
      <c r="S117" s="100">
        <v>6</v>
      </c>
      <c r="AC117" s="9">
        <v>4</v>
      </c>
      <c r="AD117" s="1">
        <v>23</v>
      </c>
    </row>
    <row r="118" spans="3:30">
      <c r="C118" s="100"/>
      <c r="D118" s="100"/>
      <c r="E118" s="100"/>
      <c r="F118" s="100"/>
      <c r="G118" s="100"/>
      <c r="H118" s="100"/>
      <c r="I118" s="9" t="s">
        <v>283</v>
      </c>
      <c r="J118" s="9" t="s">
        <v>328</v>
      </c>
      <c r="K118" s="9" t="str">
        <f t="shared" si="2"/>
        <v>器具及び備品_１　家具、電気機器、ガス機器及び家庭用品（他の項に掲げるものを除く。）</v>
      </c>
      <c r="L118" s="100" t="s">
        <v>347</v>
      </c>
      <c r="M118" s="100" t="s">
        <v>216</v>
      </c>
      <c r="N118" s="100" t="s">
        <v>227</v>
      </c>
      <c r="O118" s="100" t="s">
        <v>283</v>
      </c>
      <c r="P118" s="100" t="s">
        <v>328</v>
      </c>
      <c r="Q118" s="100" t="s">
        <v>337</v>
      </c>
      <c r="R118" s="9" t="str">
        <f t="shared" si="3"/>
        <v>器具及び備品_１　家具、電気機器、ガス機器及び家庭用品（他の項に掲げるものを除く。）_陳列だな及び陳列ケース　その他のもの</v>
      </c>
      <c r="S118" s="100">
        <v>8</v>
      </c>
      <c r="AC118" s="9">
        <v>4</v>
      </c>
      <c r="AD118" s="1">
        <v>24</v>
      </c>
    </row>
    <row r="119" spans="3:30">
      <c r="C119" s="100"/>
      <c r="D119" s="100"/>
      <c r="E119" s="100"/>
      <c r="F119" s="100"/>
      <c r="G119" s="100"/>
      <c r="H119" s="100"/>
      <c r="I119" s="9" t="s">
        <v>283</v>
      </c>
      <c r="J119" s="9" t="s">
        <v>328</v>
      </c>
      <c r="K119" s="9" t="str">
        <f t="shared" si="2"/>
        <v>器具及び備品_１　家具、電気機器、ガス機器及び家庭用品（他の項に掲げるものを除く。）</v>
      </c>
      <c r="L119" s="100" t="s">
        <v>348</v>
      </c>
      <c r="M119" s="100" t="s">
        <v>216</v>
      </c>
      <c r="N119" s="100" t="s">
        <v>227</v>
      </c>
      <c r="O119" s="100" t="s">
        <v>283</v>
      </c>
      <c r="P119" s="100" t="s">
        <v>328</v>
      </c>
      <c r="Q119" s="100" t="s">
        <v>338</v>
      </c>
      <c r="R119" s="9" t="str">
        <f t="shared" si="3"/>
        <v>器具及び備品_１　家具、電気機器、ガス機器及び家庭用品（他の項に掲げるものを除く。）_その他の家具　接客業用のもの</v>
      </c>
      <c r="S119" s="100">
        <v>5</v>
      </c>
      <c r="AC119" s="9">
        <v>4</v>
      </c>
      <c r="AD119" s="1">
        <v>25</v>
      </c>
    </row>
    <row r="120" spans="3:30">
      <c r="C120" s="100"/>
      <c r="D120" s="100"/>
      <c r="E120" s="100"/>
      <c r="F120" s="100"/>
      <c r="G120" s="100"/>
      <c r="H120" s="100"/>
      <c r="I120" s="9" t="s">
        <v>283</v>
      </c>
      <c r="J120" s="9" t="s">
        <v>328</v>
      </c>
      <c r="K120" s="9" t="str">
        <f t="shared" si="2"/>
        <v>器具及び備品_１　家具、電気機器、ガス機器及び家庭用品（他の項に掲げるものを除く。）</v>
      </c>
      <c r="L120" s="100" t="s">
        <v>349</v>
      </c>
      <c r="M120" s="100" t="s">
        <v>216</v>
      </c>
      <c r="N120" s="100" t="s">
        <v>227</v>
      </c>
      <c r="O120" s="100" t="s">
        <v>283</v>
      </c>
      <c r="P120" s="100" t="s">
        <v>328</v>
      </c>
      <c r="Q120" s="100" t="s">
        <v>340</v>
      </c>
      <c r="R120" s="9" t="str">
        <f t="shared" si="3"/>
        <v>器具及び備品_１　家具、電気機器、ガス機器及び家庭用品（他の項に掲げるものを除く。）_その他の家具　その他のもの　主として金属製のもの</v>
      </c>
      <c r="S120" s="100">
        <v>15</v>
      </c>
      <c r="AC120" s="9">
        <v>4</v>
      </c>
      <c r="AD120" s="1">
        <v>26</v>
      </c>
    </row>
    <row r="121" spans="3:30">
      <c r="C121" s="100"/>
      <c r="D121" s="100"/>
      <c r="E121" s="100"/>
      <c r="F121" s="100"/>
      <c r="G121" s="100"/>
      <c r="H121" s="100"/>
      <c r="I121" s="9" t="s">
        <v>283</v>
      </c>
      <c r="J121" s="9" t="s">
        <v>328</v>
      </c>
      <c r="K121" s="9" t="str">
        <f t="shared" si="2"/>
        <v>器具及び備品_１　家具、電気機器、ガス機器及び家庭用品（他の項に掲げるものを除く。）</v>
      </c>
      <c r="L121" s="100" t="s">
        <v>350</v>
      </c>
      <c r="M121" s="100" t="s">
        <v>216</v>
      </c>
      <c r="N121" s="100" t="s">
        <v>227</v>
      </c>
      <c r="O121" s="100" t="s">
        <v>283</v>
      </c>
      <c r="P121" s="100" t="s">
        <v>328</v>
      </c>
      <c r="Q121" s="100" t="s">
        <v>341</v>
      </c>
      <c r="R121" s="9" t="str">
        <f t="shared" si="3"/>
        <v>器具及び備品_１　家具、電気機器、ガス機器及び家庭用品（他の項に掲げるものを除く。）_その他の家具　その他のもの　その他のもの</v>
      </c>
      <c r="S121" s="100">
        <v>8</v>
      </c>
      <c r="AC121" s="9">
        <v>4</v>
      </c>
      <c r="AD121" s="1">
        <v>27</v>
      </c>
    </row>
    <row r="122" spans="3:30">
      <c r="C122" s="100"/>
      <c r="D122" s="100"/>
      <c r="E122" s="100"/>
      <c r="F122" s="100"/>
      <c r="G122" s="100"/>
      <c r="H122" s="100"/>
      <c r="I122" s="9" t="s">
        <v>283</v>
      </c>
      <c r="J122" s="9" t="s">
        <v>328</v>
      </c>
      <c r="K122" s="9" t="str">
        <f t="shared" si="2"/>
        <v>器具及び備品_１　家具、電気機器、ガス機器及び家庭用品（他の項に掲げるものを除く。）</v>
      </c>
      <c r="L122" s="100" t="s">
        <v>351</v>
      </c>
      <c r="M122" s="100" t="s">
        <v>216</v>
      </c>
      <c r="N122" s="100" t="s">
        <v>227</v>
      </c>
      <c r="O122" s="100" t="s">
        <v>283</v>
      </c>
      <c r="P122" s="100" t="s">
        <v>328</v>
      </c>
      <c r="Q122" s="100" t="s">
        <v>342</v>
      </c>
      <c r="R122" s="9" t="str">
        <f t="shared" si="3"/>
        <v>器具及び備品_１　家具、電気機器、ガス機器及び家庭用品（他の項に掲げるものを除く。）_ラジオ、テレビジョン、テープレコーダーその他の音響機器</v>
      </c>
      <c r="S122" s="100">
        <v>5</v>
      </c>
      <c r="AC122" s="9">
        <v>4</v>
      </c>
      <c r="AD122" s="1">
        <v>28</v>
      </c>
    </row>
    <row r="123" spans="3:30">
      <c r="C123" s="100"/>
      <c r="D123" s="100"/>
      <c r="E123" s="100"/>
      <c r="F123" s="100"/>
      <c r="G123" s="100"/>
      <c r="H123" s="100"/>
      <c r="I123" s="9" t="s">
        <v>283</v>
      </c>
      <c r="J123" s="9" t="s">
        <v>328</v>
      </c>
      <c r="K123" s="9" t="str">
        <f t="shared" si="2"/>
        <v>器具及び備品_１　家具、電気機器、ガス機器及び家庭用品（他の項に掲げるものを除く。）</v>
      </c>
      <c r="L123" s="100" t="s">
        <v>352</v>
      </c>
      <c r="M123" s="100" t="s">
        <v>216</v>
      </c>
      <c r="N123" s="100" t="s">
        <v>227</v>
      </c>
      <c r="O123" s="100" t="s">
        <v>283</v>
      </c>
      <c r="P123" s="100" t="s">
        <v>328</v>
      </c>
      <c r="Q123" s="100" t="s">
        <v>343</v>
      </c>
      <c r="R123" s="9" t="str">
        <f t="shared" si="3"/>
        <v>器具及び備品_１　家具、電気機器、ガス機器及び家庭用品（他の項に掲げるものを除く。）_冷房用又は暖房用機器</v>
      </c>
      <c r="S123" s="100">
        <v>6</v>
      </c>
      <c r="AC123" s="9">
        <v>4</v>
      </c>
      <c r="AD123" s="1">
        <v>29</v>
      </c>
    </row>
    <row r="124" spans="3:30">
      <c r="C124" s="100"/>
      <c r="D124" s="100"/>
      <c r="E124" s="100"/>
      <c r="F124" s="100"/>
      <c r="G124" s="100"/>
      <c r="H124" s="100"/>
      <c r="I124" s="9" t="s">
        <v>283</v>
      </c>
      <c r="J124" s="9" t="s">
        <v>328</v>
      </c>
      <c r="K124" s="9" t="str">
        <f t="shared" si="2"/>
        <v>器具及び備品_１　家具、電気機器、ガス機器及び家庭用品（他の項に掲げるものを除く。）</v>
      </c>
      <c r="L124" s="100" t="s">
        <v>353</v>
      </c>
      <c r="M124" s="100" t="s">
        <v>216</v>
      </c>
      <c r="N124" s="100" t="s">
        <v>227</v>
      </c>
      <c r="O124" s="100" t="s">
        <v>283</v>
      </c>
      <c r="P124" s="100" t="s">
        <v>328</v>
      </c>
      <c r="Q124" s="100" t="s">
        <v>344</v>
      </c>
      <c r="R124" s="9" t="str">
        <f t="shared" si="3"/>
        <v>器具及び備品_１　家具、電気機器、ガス機器及び家庭用品（他の項に掲げるものを除く。）_電気冷蔵庫、電気洗濯機その他これらに類する電気又はガス機器</v>
      </c>
      <c r="S124" s="100">
        <v>6</v>
      </c>
      <c r="AC124" s="1">
        <v>5</v>
      </c>
      <c r="AD124" s="122" t="s">
        <v>161</v>
      </c>
    </row>
    <row r="125" spans="3:30">
      <c r="C125" s="100"/>
      <c r="D125" s="100"/>
      <c r="E125" s="100"/>
      <c r="F125" s="100"/>
      <c r="G125" s="100"/>
      <c r="H125" s="100"/>
      <c r="I125" s="9" t="s">
        <v>283</v>
      </c>
      <c r="J125" s="9" t="s">
        <v>328</v>
      </c>
      <c r="K125" s="9" t="str">
        <f t="shared" si="2"/>
        <v>器具及び備品_１　家具、電気機器、ガス機器及び家庭用品（他の項に掲げるものを除く。）</v>
      </c>
      <c r="L125" s="100" t="s">
        <v>354</v>
      </c>
      <c r="M125" s="100" t="s">
        <v>216</v>
      </c>
      <c r="N125" s="100" t="s">
        <v>227</v>
      </c>
      <c r="O125" s="100" t="s">
        <v>283</v>
      </c>
      <c r="P125" s="100" t="s">
        <v>328</v>
      </c>
      <c r="Q125" s="100" t="s">
        <v>345</v>
      </c>
      <c r="R125" s="9" t="str">
        <f t="shared" si="3"/>
        <v>器具及び備品_１　家具、電気機器、ガス機器及び家庭用品（他の項に掲げるものを除く。）_氷冷蔵庫及び冷蔵ストッカー（電気式のものを除く。）</v>
      </c>
      <c r="S125" s="100">
        <v>4</v>
      </c>
      <c r="AC125" s="9">
        <v>5</v>
      </c>
      <c r="AD125" s="1">
        <v>1</v>
      </c>
    </row>
    <row r="126" spans="3:30">
      <c r="C126" s="100"/>
      <c r="D126" s="100"/>
      <c r="E126" s="100"/>
      <c r="F126" s="100"/>
      <c r="G126" s="100"/>
      <c r="H126" s="100"/>
      <c r="I126" s="9" t="s">
        <v>283</v>
      </c>
      <c r="J126" s="100" t="s">
        <v>355</v>
      </c>
      <c r="K126" s="9" t="str">
        <f t="shared" si="2"/>
        <v>器具及び備品_２　事務機器及び通信機器</v>
      </c>
      <c r="L126" s="100" t="s">
        <v>356</v>
      </c>
      <c r="M126" s="100" t="s">
        <v>216</v>
      </c>
      <c r="N126" s="100" t="s">
        <v>227</v>
      </c>
      <c r="O126" s="100" t="s">
        <v>283</v>
      </c>
      <c r="P126" s="100" t="s">
        <v>328</v>
      </c>
      <c r="Q126" s="100" t="s">
        <v>346</v>
      </c>
      <c r="R126" s="9" t="str">
        <f t="shared" si="3"/>
        <v>器具及び備品_１　家具、電気機器、ガス機器及び家庭用品（他の項に掲げるものを除く。）_カーテン、座ぶとん、寝具、丹前その他これらに類する繊維製品</v>
      </c>
      <c r="S126" s="100">
        <v>3</v>
      </c>
      <c r="AC126" s="9">
        <v>5</v>
      </c>
      <c r="AD126" s="1">
        <v>2</v>
      </c>
    </row>
    <row r="127" spans="3:30">
      <c r="C127" s="100"/>
      <c r="D127" s="100"/>
      <c r="E127" s="100"/>
      <c r="F127" s="100"/>
      <c r="G127" s="100"/>
      <c r="H127" s="100"/>
      <c r="I127" s="9" t="s">
        <v>283</v>
      </c>
      <c r="J127" s="9" t="s">
        <v>355</v>
      </c>
      <c r="K127" s="9" t="str">
        <f t="shared" si="2"/>
        <v>器具及び備品_２　事務機器及び通信機器</v>
      </c>
      <c r="L127" s="100" t="s">
        <v>357</v>
      </c>
      <c r="M127" s="100" t="s">
        <v>216</v>
      </c>
      <c r="N127" s="100" t="s">
        <v>227</v>
      </c>
      <c r="O127" s="100" t="s">
        <v>283</v>
      </c>
      <c r="P127" s="100" t="s">
        <v>328</v>
      </c>
      <c r="Q127" s="100" t="s">
        <v>347</v>
      </c>
      <c r="R127" s="9" t="str">
        <f t="shared" si="3"/>
        <v>器具及び備品_１　家具、電気機器、ガス機器及び家庭用品（他の項に掲げるものを除く。）_じゆうたんその他の床用敷物　小売業用、接客業用、放送用、レコード吹込用又は劇場用のもの</v>
      </c>
      <c r="S127" s="100">
        <v>3</v>
      </c>
      <c r="AC127" s="9">
        <v>5</v>
      </c>
      <c r="AD127" s="1">
        <v>3</v>
      </c>
    </row>
    <row r="128" spans="3:30">
      <c r="C128" s="100"/>
      <c r="D128" s="100"/>
      <c r="E128" s="100"/>
      <c r="F128" s="100"/>
      <c r="G128" s="100"/>
      <c r="H128" s="100"/>
      <c r="I128" s="9" t="s">
        <v>283</v>
      </c>
      <c r="J128" s="9" t="s">
        <v>355</v>
      </c>
      <c r="K128" s="9" t="str">
        <f t="shared" si="2"/>
        <v>器具及び備品_２　事務機器及び通信機器</v>
      </c>
      <c r="L128" s="100" t="s">
        <v>358</v>
      </c>
      <c r="M128" s="100" t="s">
        <v>216</v>
      </c>
      <c r="N128" s="100" t="s">
        <v>227</v>
      </c>
      <c r="O128" s="100" t="s">
        <v>283</v>
      </c>
      <c r="P128" s="100" t="s">
        <v>328</v>
      </c>
      <c r="Q128" s="100" t="s">
        <v>348</v>
      </c>
      <c r="R128" s="9" t="str">
        <f t="shared" si="3"/>
        <v>器具及び備品_１　家具、電気機器、ガス機器及び家庭用品（他の項に掲げるものを除く。）_じゆうたんその他の床用敷物　その他のもの</v>
      </c>
      <c r="S128" s="100">
        <v>6</v>
      </c>
      <c r="AC128" s="9">
        <v>5</v>
      </c>
      <c r="AD128" s="1">
        <v>4</v>
      </c>
    </row>
    <row r="129" spans="3:30">
      <c r="C129" s="100"/>
      <c r="D129" s="100"/>
      <c r="E129" s="100"/>
      <c r="F129" s="100"/>
      <c r="G129" s="100"/>
      <c r="H129" s="100"/>
      <c r="I129" s="9" t="s">
        <v>283</v>
      </c>
      <c r="J129" s="9" t="s">
        <v>355</v>
      </c>
      <c r="K129" s="9" t="str">
        <f t="shared" si="2"/>
        <v>器具及び備品_２　事務機器及び通信機器</v>
      </c>
      <c r="L129" s="100" t="s">
        <v>359</v>
      </c>
      <c r="M129" s="100" t="s">
        <v>216</v>
      </c>
      <c r="N129" s="100" t="s">
        <v>227</v>
      </c>
      <c r="O129" s="100" t="s">
        <v>283</v>
      </c>
      <c r="P129" s="100" t="s">
        <v>328</v>
      </c>
      <c r="Q129" s="100" t="s">
        <v>349</v>
      </c>
      <c r="R129" s="9" t="str">
        <f t="shared" si="3"/>
        <v>器具及び備品_１　家具、電気機器、ガス機器及び家庭用品（他の項に掲げるものを除く。）_室内装飾品　主として金属製のもの</v>
      </c>
      <c r="S129" s="100">
        <v>15</v>
      </c>
      <c r="AC129" s="9">
        <v>5</v>
      </c>
      <c r="AD129" s="1">
        <v>5</v>
      </c>
    </row>
    <row r="130" spans="3:30">
      <c r="C130" s="100"/>
      <c r="D130" s="100"/>
      <c r="E130" s="100"/>
      <c r="F130" s="100"/>
      <c r="G130" s="100"/>
      <c r="H130" s="100"/>
      <c r="I130" s="9" t="s">
        <v>283</v>
      </c>
      <c r="J130" s="9" t="s">
        <v>355</v>
      </c>
      <c r="K130" s="9" t="str">
        <f t="shared" si="2"/>
        <v>器具及び備品_２　事務機器及び通信機器</v>
      </c>
      <c r="L130" s="100" t="s">
        <v>360</v>
      </c>
      <c r="M130" s="100" t="s">
        <v>216</v>
      </c>
      <c r="N130" s="100" t="s">
        <v>227</v>
      </c>
      <c r="O130" s="100" t="s">
        <v>283</v>
      </c>
      <c r="P130" s="100" t="s">
        <v>328</v>
      </c>
      <c r="Q130" s="100" t="s">
        <v>350</v>
      </c>
      <c r="R130" s="9" t="str">
        <f t="shared" si="3"/>
        <v>器具及び備品_１　家具、電気機器、ガス機器及び家庭用品（他の項に掲げるものを除く。）_室内装飾品　その他のもの</v>
      </c>
      <c r="S130" s="100">
        <v>8</v>
      </c>
      <c r="AC130" s="9">
        <v>5</v>
      </c>
      <c r="AD130" s="1">
        <v>6</v>
      </c>
    </row>
    <row r="131" spans="3:30">
      <c r="C131" s="100"/>
      <c r="D131" s="100"/>
      <c r="E131" s="100"/>
      <c r="F131" s="100"/>
      <c r="G131" s="100"/>
      <c r="H131" s="100"/>
      <c r="I131" s="9" t="s">
        <v>283</v>
      </c>
      <c r="J131" s="9" t="s">
        <v>355</v>
      </c>
      <c r="K131" s="9" t="str">
        <f t="shared" si="2"/>
        <v>器具及び備品_２　事務機器及び通信機器</v>
      </c>
      <c r="L131" s="100" t="s">
        <v>361</v>
      </c>
      <c r="M131" s="100" t="s">
        <v>216</v>
      </c>
      <c r="N131" s="100" t="s">
        <v>227</v>
      </c>
      <c r="O131" s="100" t="s">
        <v>283</v>
      </c>
      <c r="P131" s="100" t="s">
        <v>328</v>
      </c>
      <c r="Q131" s="100" t="s">
        <v>351</v>
      </c>
      <c r="R131" s="9" t="str">
        <f t="shared" si="3"/>
        <v>器具及び備品_１　家具、電気機器、ガス機器及び家庭用品（他の項に掲げるものを除く。）_食事又はちゆう房用品　陶磁器製又はガラス製のもの</v>
      </c>
      <c r="S131" s="100">
        <v>2</v>
      </c>
      <c r="AC131" s="9">
        <v>5</v>
      </c>
      <c r="AD131" s="1">
        <v>7</v>
      </c>
    </row>
    <row r="132" spans="3:30">
      <c r="C132" s="100"/>
      <c r="D132" s="100"/>
      <c r="E132" s="100"/>
      <c r="F132" s="100"/>
      <c r="G132" s="100"/>
      <c r="H132" s="100"/>
      <c r="I132" s="9" t="s">
        <v>283</v>
      </c>
      <c r="J132" s="9" t="s">
        <v>355</v>
      </c>
      <c r="K132" s="9" t="str">
        <f t="shared" ref="K132:K195" si="4">I132&amp;"_"&amp;J132</f>
        <v>器具及び備品_２　事務機器及び通信機器</v>
      </c>
      <c r="L132" s="100" t="s">
        <v>362</v>
      </c>
      <c r="M132" s="100" t="s">
        <v>216</v>
      </c>
      <c r="N132" s="100" t="s">
        <v>227</v>
      </c>
      <c r="O132" s="100" t="s">
        <v>283</v>
      </c>
      <c r="P132" s="100" t="s">
        <v>328</v>
      </c>
      <c r="Q132" s="100" t="s">
        <v>352</v>
      </c>
      <c r="R132" s="9" t="str">
        <f t="shared" ref="R132:R195" si="5">O132&amp;"_"&amp;P132&amp;"_"&amp;Q132</f>
        <v>器具及び備品_１　家具、電気機器、ガス機器及び家庭用品（他の項に掲げるものを除く。）_食事又はちゆう房用品　その他のもの</v>
      </c>
      <c r="S132" s="100">
        <v>5</v>
      </c>
      <c r="AC132" s="9">
        <v>5</v>
      </c>
      <c r="AD132" s="1">
        <v>8</v>
      </c>
    </row>
    <row r="133" spans="3:30">
      <c r="C133" s="100"/>
      <c r="D133" s="100"/>
      <c r="E133" s="100"/>
      <c r="F133" s="100"/>
      <c r="G133" s="100"/>
      <c r="H133" s="100"/>
      <c r="I133" s="9" t="s">
        <v>283</v>
      </c>
      <c r="J133" s="9" t="s">
        <v>355</v>
      </c>
      <c r="K133" s="9" t="str">
        <f t="shared" si="4"/>
        <v>器具及び備品_２　事務機器及び通信機器</v>
      </c>
      <c r="L133" s="100" t="s">
        <v>363</v>
      </c>
      <c r="M133" s="100" t="s">
        <v>216</v>
      </c>
      <c r="N133" s="100" t="s">
        <v>227</v>
      </c>
      <c r="O133" s="100" t="s">
        <v>283</v>
      </c>
      <c r="P133" s="100" t="s">
        <v>328</v>
      </c>
      <c r="Q133" s="100" t="s">
        <v>353</v>
      </c>
      <c r="R133" s="9" t="str">
        <f t="shared" si="5"/>
        <v>器具及び備品_１　家具、電気機器、ガス機器及び家庭用品（他の項に掲げるものを除く。）_その他のもの　主として金属製のもの</v>
      </c>
      <c r="S133" s="100">
        <v>15</v>
      </c>
      <c r="AC133" s="9">
        <v>5</v>
      </c>
      <c r="AD133" s="1">
        <v>9</v>
      </c>
    </row>
    <row r="134" spans="3:30">
      <c r="C134" s="100"/>
      <c r="D134" s="100"/>
      <c r="E134" s="100"/>
      <c r="F134" s="100"/>
      <c r="G134" s="100"/>
      <c r="H134" s="100"/>
      <c r="I134" s="9" t="s">
        <v>283</v>
      </c>
      <c r="J134" s="9" t="s">
        <v>355</v>
      </c>
      <c r="K134" s="9" t="str">
        <f t="shared" si="4"/>
        <v>器具及び備品_２　事務機器及び通信機器</v>
      </c>
      <c r="L134" s="100" t="s">
        <v>364</v>
      </c>
      <c r="M134" s="100" t="s">
        <v>216</v>
      </c>
      <c r="N134" s="100" t="s">
        <v>227</v>
      </c>
      <c r="O134" s="100" t="s">
        <v>283</v>
      </c>
      <c r="P134" s="100" t="s">
        <v>328</v>
      </c>
      <c r="Q134" s="100" t="s">
        <v>354</v>
      </c>
      <c r="R134" s="9" t="str">
        <f t="shared" si="5"/>
        <v>器具及び備品_１　家具、電気機器、ガス機器及び家庭用品（他の項に掲げるものを除く。）_その他のもの　その他のもの</v>
      </c>
      <c r="S134" s="100">
        <v>8</v>
      </c>
      <c r="AC134" s="9">
        <v>5</v>
      </c>
      <c r="AD134" s="1">
        <v>10</v>
      </c>
    </row>
    <row r="135" spans="3:30">
      <c r="C135" s="100"/>
      <c r="D135" s="100"/>
      <c r="E135" s="100"/>
      <c r="F135" s="100"/>
      <c r="G135" s="100"/>
      <c r="H135" s="100"/>
      <c r="I135" s="9" t="s">
        <v>283</v>
      </c>
      <c r="J135" s="9" t="s">
        <v>355</v>
      </c>
      <c r="K135" s="9" t="str">
        <f t="shared" si="4"/>
        <v>器具及び備品_２　事務機器及び通信機器</v>
      </c>
      <c r="L135" s="100" t="s">
        <v>365</v>
      </c>
      <c r="M135" s="100" t="s">
        <v>216</v>
      </c>
      <c r="N135" s="100" t="s">
        <v>227</v>
      </c>
      <c r="O135" s="100" t="s">
        <v>283</v>
      </c>
      <c r="P135" s="100" t="s">
        <v>355</v>
      </c>
      <c r="Q135" s="100" t="s">
        <v>356</v>
      </c>
      <c r="R135" s="9" t="str">
        <f t="shared" si="5"/>
        <v>器具及び備品_２　事務機器及び通信機器_謄写機器及びタイプライター　孔版印刷又は印書業用のもの</v>
      </c>
      <c r="S135" s="100">
        <v>3</v>
      </c>
      <c r="AC135" s="9">
        <v>5</v>
      </c>
      <c r="AD135" s="1">
        <v>11</v>
      </c>
    </row>
    <row r="136" spans="3:30">
      <c r="C136" s="100"/>
      <c r="D136" s="100"/>
      <c r="E136" s="100"/>
      <c r="F136" s="100"/>
      <c r="G136" s="100"/>
      <c r="H136" s="100"/>
      <c r="I136" s="9" t="s">
        <v>283</v>
      </c>
      <c r="J136" s="100" t="s">
        <v>366</v>
      </c>
      <c r="K136" s="9" t="str">
        <f t="shared" si="4"/>
        <v>器具及び備品_３　時計、試験機器及び測定機器</v>
      </c>
      <c r="L136" s="100" t="s">
        <v>367</v>
      </c>
      <c r="M136" s="100" t="s">
        <v>216</v>
      </c>
      <c r="N136" s="100" t="s">
        <v>227</v>
      </c>
      <c r="O136" s="100" t="s">
        <v>283</v>
      </c>
      <c r="P136" s="100" t="s">
        <v>355</v>
      </c>
      <c r="Q136" s="100" t="s">
        <v>357</v>
      </c>
      <c r="R136" s="9" t="str">
        <f t="shared" si="5"/>
        <v>器具及び備品_２　事務機器及び通信機器_謄写機器及びタイプライター　その他のもの</v>
      </c>
      <c r="S136" s="100">
        <v>5</v>
      </c>
      <c r="AC136" s="9">
        <v>5</v>
      </c>
      <c r="AD136" s="1">
        <v>12</v>
      </c>
    </row>
    <row r="137" spans="3:30">
      <c r="C137" s="100"/>
      <c r="D137" s="100"/>
      <c r="E137" s="100"/>
      <c r="F137" s="100"/>
      <c r="G137" s="100"/>
      <c r="H137" s="100"/>
      <c r="I137" s="9" t="s">
        <v>283</v>
      </c>
      <c r="J137" s="9" t="s">
        <v>366</v>
      </c>
      <c r="K137" s="9" t="str">
        <f t="shared" si="4"/>
        <v>器具及び備品_３　時計、試験機器及び測定機器</v>
      </c>
      <c r="L137" s="100" t="s">
        <v>368</v>
      </c>
      <c r="M137" s="100" t="s">
        <v>216</v>
      </c>
      <c r="N137" s="100" t="s">
        <v>227</v>
      </c>
      <c r="O137" s="100" t="s">
        <v>283</v>
      </c>
      <c r="P137" s="100" t="s">
        <v>355</v>
      </c>
      <c r="Q137" s="100" t="s">
        <v>358</v>
      </c>
      <c r="R137" s="9" t="str">
        <f t="shared" si="5"/>
        <v>器具及び備品_２　事務機器及び通信機器_電子計算機　パーソナルコンピュータ（サーバー用のものを除く。）</v>
      </c>
      <c r="S137" s="100">
        <v>4</v>
      </c>
      <c r="AC137" s="9">
        <v>5</v>
      </c>
      <c r="AD137" s="1">
        <v>13</v>
      </c>
    </row>
    <row r="138" spans="3:30">
      <c r="C138" s="100"/>
      <c r="D138" s="100"/>
      <c r="E138" s="100"/>
      <c r="F138" s="100"/>
      <c r="G138" s="100"/>
      <c r="H138" s="100"/>
      <c r="I138" s="9" t="s">
        <v>283</v>
      </c>
      <c r="J138" s="9" t="s">
        <v>366</v>
      </c>
      <c r="K138" s="9" t="str">
        <f t="shared" si="4"/>
        <v>器具及び備品_３　時計、試験機器及び測定機器</v>
      </c>
      <c r="L138" s="100" t="s">
        <v>369</v>
      </c>
      <c r="M138" s="100" t="s">
        <v>216</v>
      </c>
      <c r="N138" s="100" t="s">
        <v>227</v>
      </c>
      <c r="O138" s="100" t="s">
        <v>283</v>
      </c>
      <c r="P138" s="100" t="s">
        <v>355</v>
      </c>
      <c r="Q138" s="100" t="s">
        <v>359</v>
      </c>
      <c r="R138" s="9" t="str">
        <f t="shared" si="5"/>
        <v>器具及び備品_２　事務機器及び通信機器_電子計算機　その他のもの</v>
      </c>
      <c r="S138" s="100">
        <v>5</v>
      </c>
      <c r="AC138" s="9">
        <v>5</v>
      </c>
      <c r="AD138" s="1">
        <v>14</v>
      </c>
    </row>
    <row r="139" spans="3:30">
      <c r="C139" s="100"/>
      <c r="D139" s="100"/>
      <c r="E139" s="100"/>
      <c r="F139" s="100"/>
      <c r="G139" s="100"/>
      <c r="H139" s="100"/>
      <c r="I139" s="9" t="s">
        <v>283</v>
      </c>
      <c r="J139" s="100" t="s">
        <v>370</v>
      </c>
      <c r="K139" s="9" t="str">
        <f t="shared" si="4"/>
        <v>器具及び備品_４　光学機器及び写真製作機器</v>
      </c>
      <c r="L139" s="100" t="s">
        <v>371</v>
      </c>
      <c r="M139" s="100" t="s">
        <v>216</v>
      </c>
      <c r="N139" s="100" t="s">
        <v>227</v>
      </c>
      <c r="O139" s="100" t="s">
        <v>283</v>
      </c>
      <c r="P139" s="100" t="s">
        <v>355</v>
      </c>
      <c r="Q139" s="100" t="s">
        <v>360</v>
      </c>
      <c r="R139" s="9" t="str">
        <f t="shared" si="5"/>
        <v>器具及び備品_２　事務機器及び通信機器_複写機、計算機（電子計算機を除く。）、金銭登録機、タイムレコーダーその他これらに類するもの</v>
      </c>
      <c r="S139" s="100">
        <v>5</v>
      </c>
      <c r="AC139" s="9">
        <v>5</v>
      </c>
      <c r="AD139" s="1">
        <v>15</v>
      </c>
    </row>
    <row r="140" spans="3:30">
      <c r="C140" s="100"/>
      <c r="D140" s="100"/>
      <c r="E140" s="100"/>
      <c r="F140" s="100"/>
      <c r="G140" s="100"/>
      <c r="H140" s="100"/>
      <c r="I140" s="9" t="s">
        <v>283</v>
      </c>
      <c r="J140" s="9" t="s">
        <v>370</v>
      </c>
      <c r="K140" s="9" t="str">
        <f t="shared" si="4"/>
        <v>器具及び備品_４　光学機器及び写真製作機器</v>
      </c>
      <c r="L140" s="100" t="s">
        <v>372</v>
      </c>
      <c r="M140" s="100" t="s">
        <v>216</v>
      </c>
      <c r="N140" s="100" t="s">
        <v>227</v>
      </c>
      <c r="O140" s="100" t="s">
        <v>283</v>
      </c>
      <c r="P140" s="100" t="s">
        <v>355</v>
      </c>
      <c r="Q140" s="100" t="s">
        <v>361</v>
      </c>
      <c r="R140" s="9" t="str">
        <f t="shared" si="5"/>
        <v>器具及び備品_２　事務機器及び通信機器_その他の事務機器</v>
      </c>
      <c r="S140" s="100">
        <v>5</v>
      </c>
      <c r="AC140" s="9">
        <v>5</v>
      </c>
      <c r="AD140" s="1">
        <v>16</v>
      </c>
    </row>
    <row r="141" spans="3:30">
      <c r="C141" s="100"/>
      <c r="D141" s="100"/>
      <c r="E141" s="100"/>
      <c r="F141" s="100"/>
      <c r="G141" s="100"/>
      <c r="H141" s="100"/>
      <c r="I141" s="9" t="s">
        <v>283</v>
      </c>
      <c r="J141" s="9" t="s">
        <v>370</v>
      </c>
      <c r="K141" s="9" t="str">
        <f t="shared" si="4"/>
        <v>器具及び備品_４　光学機器及び写真製作機器</v>
      </c>
      <c r="L141" s="100" t="s">
        <v>373</v>
      </c>
      <c r="M141" s="100" t="s">
        <v>216</v>
      </c>
      <c r="N141" s="100" t="s">
        <v>227</v>
      </c>
      <c r="O141" s="100" t="s">
        <v>283</v>
      </c>
      <c r="P141" s="100" t="s">
        <v>355</v>
      </c>
      <c r="Q141" s="100" t="s">
        <v>362</v>
      </c>
      <c r="R141" s="9" t="str">
        <f t="shared" si="5"/>
        <v>器具及び備品_２　事務機器及び通信機器_テレタイプライター及びファクシミリ</v>
      </c>
      <c r="S141" s="100">
        <v>5</v>
      </c>
      <c r="AC141" s="9">
        <v>5</v>
      </c>
      <c r="AD141" s="1">
        <v>17</v>
      </c>
    </row>
    <row r="142" spans="3:30">
      <c r="C142" s="100"/>
      <c r="D142" s="100"/>
      <c r="E142" s="100"/>
      <c r="F142" s="100"/>
      <c r="G142" s="100"/>
      <c r="H142" s="100"/>
      <c r="I142" s="9" t="s">
        <v>283</v>
      </c>
      <c r="J142" s="100" t="s">
        <v>374</v>
      </c>
      <c r="K142" s="9" t="str">
        <f t="shared" si="4"/>
        <v>器具及び備品_５　看板及び広告器具</v>
      </c>
      <c r="L142" s="100" t="s">
        <v>375</v>
      </c>
      <c r="M142" s="100" t="s">
        <v>216</v>
      </c>
      <c r="N142" s="100" t="s">
        <v>227</v>
      </c>
      <c r="O142" s="100" t="s">
        <v>283</v>
      </c>
      <c r="P142" s="100" t="s">
        <v>355</v>
      </c>
      <c r="Q142" s="100" t="s">
        <v>363</v>
      </c>
      <c r="R142" s="9" t="str">
        <f t="shared" si="5"/>
        <v>器具及び備品_２　事務機器及び通信機器_インターホーン及び放送用設備</v>
      </c>
      <c r="S142" s="100">
        <v>6</v>
      </c>
      <c r="AC142" s="9">
        <v>5</v>
      </c>
      <c r="AD142" s="1">
        <v>18</v>
      </c>
    </row>
    <row r="143" spans="3:30">
      <c r="C143" s="100"/>
      <c r="D143" s="100"/>
      <c r="E143" s="100"/>
      <c r="F143" s="100"/>
      <c r="G143" s="100"/>
      <c r="H143" s="100"/>
      <c r="I143" s="9" t="s">
        <v>283</v>
      </c>
      <c r="J143" s="9" t="s">
        <v>374</v>
      </c>
      <c r="K143" s="9" t="str">
        <f t="shared" si="4"/>
        <v>器具及び備品_５　看板及び広告器具</v>
      </c>
      <c r="L143" s="100" t="s">
        <v>376</v>
      </c>
      <c r="M143" s="100" t="s">
        <v>216</v>
      </c>
      <c r="N143" s="100" t="s">
        <v>227</v>
      </c>
      <c r="O143" s="100" t="s">
        <v>283</v>
      </c>
      <c r="P143" s="100" t="s">
        <v>355</v>
      </c>
      <c r="Q143" s="100" t="s">
        <v>364</v>
      </c>
      <c r="R143" s="9" t="str">
        <f t="shared" si="5"/>
        <v>器具及び備品_２　事務機器及び通信機器_電話設備その他の通信機器　デジタル構内交換設備及びデジタルボタン電話設備</v>
      </c>
      <c r="S143" s="100">
        <v>6</v>
      </c>
      <c r="AC143" s="9">
        <v>5</v>
      </c>
      <c r="AD143" s="1">
        <v>19</v>
      </c>
    </row>
    <row r="144" spans="3:30">
      <c r="C144" s="100"/>
      <c r="D144" s="100"/>
      <c r="E144" s="100"/>
      <c r="F144" s="100"/>
      <c r="G144" s="100"/>
      <c r="H144" s="100"/>
      <c r="I144" s="9" t="s">
        <v>283</v>
      </c>
      <c r="J144" s="9" t="s">
        <v>374</v>
      </c>
      <c r="K144" s="9" t="str">
        <f t="shared" si="4"/>
        <v>器具及び備品_５　看板及び広告器具</v>
      </c>
      <c r="L144" s="100" t="s">
        <v>353</v>
      </c>
      <c r="M144" s="100" t="s">
        <v>216</v>
      </c>
      <c r="N144" s="100" t="s">
        <v>227</v>
      </c>
      <c r="O144" s="100" t="s">
        <v>283</v>
      </c>
      <c r="P144" s="100" t="s">
        <v>355</v>
      </c>
      <c r="Q144" s="100" t="s">
        <v>365</v>
      </c>
      <c r="R144" s="9" t="str">
        <f t="shared" si="5"/>
        <v>器具及び備品_２　事務機器及び通信機器_電話設備その他の通信機器　その他のもの</v>
      </c>
      <c r="S144" s="100">
        <v>10</v>
      </c>
      <c r="AC144" s="9">
        <v>5</v>
      </c>
      <c r="AD144" s="1">
        <v>20</v>
      </c>
    </row>
    <row r="145" spans="3:30">
      <c r="C145" s="100"/>
      <c r="D145" s="100"/>
      <c r="E145" s="100"/>
      <c r="F145" s="100"/>
      <c r="G145" s="100"/>
      <c r="H145" s="100"/>
      <c r="I145" s="9" t="s">
        <v>283</v>
      </c>
      <c r="J145" s="9" t="s">
        <v>374</v>
      </c>
      <c r="K145" s="9" t="str">
        <f t="shared" si="4"/>
        <v>器具及び備品_５　看板及び広告器具</v>
      </c>
      <c r="L145" s="100" t="s">
        <v>354</v>
      </c>
      <c r="M145" s="100" t="s">
        <v>216</v>
      </c>
      <c r="N145" s="100" t="s">
        <v>227</v>
      </c>
      <c r="O145" s="100" t="s">
        <v>283</v>
      </c>
      <c r="P145" s="100" t="s">
        <v>366</v>
      </c>
      <c r="Q145" s="100" t="s">
        <v>367</v>
      </c>
      <c r="R145" s="9" t="str">
        <f t="shared" si="5"/>
        <v>器具及び備品_３　時計、試験機器及び測定機器_時計</v>
      </c>
      <c r="S145" s="100">
        <v>10</v>
      </c>
      <c r="AC145" s="9">
        <v>5</v>
      </c>
      <c r="AD145" s="1">
        <v>21</v>
      </c>
    </row>
    <row r="146" spans="3:30">
      <c r="C146" s="100"/>
      <c r="D146" s="100"/>
      <c r="E146" s="100"/>
      <c r="F146" s="100"/>
      <c r="G146" s="100"/>
      <c r="H146" s="100"/>
      <c r="I146" s="9" t="s">
        <v>283</v>
      </c>
      <c r="J146" s="100" t="s">
        <v>377</v>
      </c>
      <c r="K146" s="9" t="str">
        <f t="shared" si="4"/>
        <v>器具及び備品_６　容器及び金庫</v>
      </c>
      <c r="L146" s="100" t="s">
        <v>378</v>
      </c>
      <c r="M146" s="100" t="s">
        <v>216</v>
      </c>
      <c r="N146" s="100" t="s">
        <v>227</v>
      </c>
      <c r="O146" s="100" t="s">
        <v>283</v>
      </c>
      <c r="P146" s="100" t="s">
        <v>366</v>
      </c>
      <c r="Q146" s="100" t="s">
        <v>368</v>
      </c>
      <c r="R146" s="9" t="str">
        <f t="shared" si="5"/>
        <v>器具及び備品_３　時計、試験機器及び測定機器_度量衡器</v>
      </c>
      <c r="S146" s="100">
        <v>5</v>
      </c>
      <c r="AC146" s="9">
        <v>5</v>
      </c>
      <c r="AD146" s="1">
        <v>22</v>
      </c>
    </row>
    <row r="147" spans="3:30">
      <c r="C147" s="100"/>
      <c r="D147" s="100"/>
      <c r="E147" s="100"/>
      <c r="F147" s="100"/>
      <c r="G147" s="100"/>
      <c r="H147" s="100"/>
      <c r="I147" s="9" t="s">
        <v>283</v>
      </c>
      <c r="J147" s="9" t="s">
        <v>377</v>
      </c>
      <c r="K147" s="9" t="str">
        <f t="shared" si="4"/>
        <v>器具及び備品_６　容器及び金庫</v>
      </c>
      <c r="L147" s="100" t="s">
        <v>379</v>
      </c>
      <c r="M147" s="100" t="s">
        <v>216</v>
      </c>
      <c r="N147" s="100" t="s">
        <v>227</v>
      </c>
      <c r="O147" s="100" t="s">
        <v>283</v>
      </c>
      <c r="P147" s="100" t="s">
        <v>366</v>
      </c>
      <c r="Q147" s="100" t="s">
        <v>369</v>
      </c>
      <c r="R147" s="9" t="str">
        <f t="shared" si="5"/>
        <v>器具及び備品_３　時計、試験機器及び測定機器_試験又は測定機器</v>
      </c>
      <c r="S147" s="100">
        <v>5</v>
      </c>
      <c r="AC147" s="9">
        <v>5</v>
      </c>
      <c r="AD147" s="1">
        <v>23</v>
      </c>
    </row>
    <row r="148" spans="3:30">
      <c r="C148" s="100"/>
      <c r="D148" s="100"/>
      <c r="E148" s="100"/>
      <c r="F148" s="100"/>
      <c r="G148" s="100"/>
      <c r="H148" s="100"/>
      <c r="I148" s="9" t="s">
        <v>283</v>
      </c>
      <c r="J148" s="9" t="s">
        <v>377</v>
      </c>
      <c r="K148" s="9" t="str">
        <f t="shared" si="4"/>
        <v>器具及び備品_６　容器及び金庫</v>
      </c>
      <c r="L148" s="100" t="s">
        <v>380</v>
      </c>
      <c r="M148" s="100" t="s">
        <v>216</v>
      </c>
      <c r="N148" s="100" t="s">
        <v>227</v>
      </c>
      <c r="O148" s="100" t="s">
        <v>283</v>
      </c>
      <c r="P148" s="100" t="s">
        <v>370</v>
      </c>
      <c r="Q148" s="100" t="s">
        <v>371</v>
      </c>
      <c r="R148" s="9" t="str">
        <f t="shared" si="5"/>
        <v>器具及び備品_４　光学機器及び写真製作機器_オペラグラス</v>
      </c>
      <c r="S148" s="100">
        <v>2</v>
      </c>
      <c r="AC148" s="9">
        <v>5</v>
      </c>
      <c r="AD148" s="1">
        <v>24</v>
      </c>
    </row>
    <row r="149" spans="3:30">
      <c r="C149" s="100"/>
      <c r="D149" s="100"/>
      <c r="E149" s="100"/>
      <c r="F149" s="100"/>
      <c r="G149" s="100"/>
      <c r="H149" s="100"/>
      <c r="I149" s="9" t="s">
        <v>283</v>
      </c>
      <c r="J149" s="9" t="s">
        <v>377</v>
      </c>
      <c r="K149" s="9" t="str">
        <f t="shared" si="4"/>
        <v>器具及び備品_６　容器及び金庫</v>
      </c>
      <c r="L149" s="100" t="s">
        <v>381</v>
      </c>
      <c r="M149" s="100" t="s">
        <v>216</v>
      </c>
      <c r="N149" s="100" t="s">
        <v>227</v>
      </c>
      <c r="O149" s="100" t="s">
        <v>283</v>
      </c>
      <c r="P149" s="100" t="s">
        <v>370</v>
      </c>
      <c r="Q149" s="100" t="s">
        <v>372</v>
      </c>
      <c r="R149" s="9" t="str">
        <f t="shared" si="5"/>
        <v>器具及び備品_４　光学機器及び写真製作機器_カメラ、映画撮影機、映写機及び望遠鏡</v>
      </c>
      <c r="S149" s="100">
        <v>5</v>
      </c>
      <c r="AC149" s="9">
        <v>5</v>
      </c>
      <c r="AD149" s="1">
        <v>25</v>
      </c>
    </row>
    <row r="150" spans="3:30">
      <c r="C150" s="100"/>
      <c r="D150" s="100"/>
      <c r="E150" s="100"/>
      <c r="F150" s="100"/>
      <c r="G150" s="100"/>
      <c r="H150" s="100"/>
      <c r="I150" s="9" t="s">
        <v>283</v>
      </c>
      <c r="J150" s="9" t="s">
        <v>377</v>
      </c>
      <c r="K150" s="9" t="str">
        <f t="shared" si="4"/>
        <v>器具及び備品_６　容器及び金庫</v>
      </c>
      <c r="L150" s="100" t="s">
        <v>382</v>
      </c>
      <c r="M150" s="100" t="s">
        <v>216</v>
      </c>
      <c r="N150" s="100" t="s">
        <v>227</v>
      </c>
      <c r="O150" s="100" t="s">
        <v>283</v>
      </c>
      <c r="P150" s="100" t="s">
        <v>370</v>
      </c>
      <c r="Q150" s="100" t="s">
        <v>373</v>
      </c>
      <c r="R150" s="9" t="str">
        <f t="shared" si="5"/>
        <v>器具及び備品_４　光学機器及び写真製作機器_引伸機、焼付機、乾燥機、顕微鏡その他の機器</v>
      </c>
      <c r="S150" s="100">
        <v>8</v>
      </c>
      <c r="AC150" s="9">
        <v>5</v>
      </c>
      <c r="AD150" s="1">
        <v>26</v>
      </c>
    </row>
    <row r="151" spans="3:30">
      <c r="C151" s="100"/>
      <c r="D151" s="100"/>
      <c r="E151" s="100"/>
      <c r="F151" s="100"/>
      <c r="G151" s="100"/>
      <c r="H151" s="100"/>
      <c r="I151" s="9" t="s">
        <v>283</v>
      </c>
      <c r="J151" s="9" t="s">
        <v>377</v>
      </c>
      <c r="K151" s="9" t="str">
        <f t="shared" si="4"/>
        <v>器具及び備品_６　容器及び金庫</v>
      </c>
      <c r="L151" s="100" t="s">
        <v>383</v>
      </c>
      <c r="M151" s="100" t="s">
        <v>216</v>
      </c>
      <c r="N151" s="100" t="s">
        <v>227</v>
      </c>
      <c r="O151" s="100" t="s">
        <v>283</v>
      </c>
      <c r="P151" s="100" t="s">
        <v>374</v>
      </c>
      <c r="Q151" s="100" t="s">
        <v>375</v>
      </c>
      <c r="R151" s="9" t="str">
        <f t="shared" si="5"/>
        <v>器具及び備品_５　看板及び広告器具_看板、ネオンサイン及び気球</v>
      </c>
      <c r="S151" s="100">
        <v>3</v>
      </c>
      <c r="AC151" s="9">
        <v>5</v>
      </c>
      <c r="AD151" s="1">
        <v>27</v>
      </c>
    </row>
    <row r="152" spans="3:30">
      <c r="C152" s="100"/>
      <c r="D152" s="100"/>
      <c r="E152" s="100"/>
      <c r="F152" s="100"/>
      <c r="G152" s="100"/>
      <c r="H152" s="100"/>
      <c r="I152" s="9" t="s">
        <v>283</v>
      </c>
      <c r="J152" s="9" t="s">
        <v>377</v>
      </c>
      <c r="K152" s="9" t="str">
        <f t="shared" si="4"/>
        <v>器具及び備品_６　容器及び金庫</v>
      </c>
      <c r="L152" s="100" t="s">
        <v>384</v>
      </c>
      <c r="M152" s="100" t="s">
        <v>216</v>
      </c>
      <c r="N152" s="100" t="s">
        <v>227</v>
      </c>
      <c r="O152" s="100" t="s">
        <v>283</v>
      </c>
      <c r="P152" s="100" t="s">
        <v>374</v>
      </c>
      <c r="Q152" s="100" t="s">
        <v>376</v>
      </c>
      <c r="R152" s="9" t="str">
        <f t="shared" si="5"/>
        <v>器具及び備品_５　看板及び広告器具_マネキン人形及び模型</v>
      </c>
      <c r="S152" s="100">
        <v>2</v>
      </c>
      <c r="AC152" s="9">
        <v>5</v>
      </c>
      <c r="AD152" s="1">
        <v>28</v>
      </c>
    </row>
    <row r="153" spans="3:30">
      <c r="C153" s="100"/>
      <c r="D153" s="100"/>
      <c r="E153" s="100"/>
      <c r="F153" s="100"/>
      <c r="G153" s="100"/>
      <c r="H153" s="100"/>
      <c r="I153" s="9" t="s">
        <v>283</v>
      </c>
      <c r="J153" s="9" t="s">
        <v>377</v>
      </c>
      <c r="K153" s="9" t="str">
        <f t="shared" si="4"/>
        <v>器具及び備品_６　容器及び金庫</v>
      </c>
      <c r="L153" s="100" t="s">
        <v>385</v>
      </c>
      <c r="M153" s="100" t="s">
        <v>216</v>
      </c>
      <c r="N153" s="100" t="s">
        <v>227</v>
      </c>
      <c r="O153" s="100" t="s">
        <v>283</v>
      </c>
      <c r="P153" s="100" t="s">
        <v>374</v>
      </c>
      <c r="Q153" s="100" t="s">
        <v>353</v>
      </c>
      <c r="R153" s="9" t="str">
        <f t="shared" si="5"/>
        <v>器具及び備品_５　看板及び広告器具_その他のもの　主として金属製のもの</v>
      </c>
      <c r="S153" s="100">
        <v>10</v>
      </c>
      <c r="AC153" s="9">
        <v>5</v>
      </c>
      <c r="AD153" s="1">
        <v>29</v>
      </c>
    </row>
    <row r="154" spans="3:30">
      <c r="C154" s="100"/>
      <c r="D154" s="100"/>
      <c r="E154" s="100"/>
      <c r="F154" s="100"/>
      <c r="G154" s="100"/>
      <c r="H154" s="100"/>
      <c r="I154" s="9" t="s">
        <v>283</v>
      </c>
      <c r="J154" s="100" t="s">
        <v>386</v>
      </c>
      <c r="K154" s="9" t="str">
        <f t="shared" si="4"/>
        <v>器具及び備品_８　医療機器</v>
      </c>
      <c r="L154" s="100" t="s">
        <v>387</v>
      </c>
      <c r="M154" s="100" t="s">
        <v>216</v>
      </c>
      <c r="N154" s="100" t="s">
        <v>227</v>
      </c>
      <c r="O154" s="100" t="s">
        <v>283</v>
      </c>
      <c r="P154" s="100" t="s">
        <v>374</v>
      </c>
      <c r="Q154" s="100" t="s">
        <v>354</v>
      </c>
      <c r="R154" s="9" t="str">
        <f t="shared" si="5"/>
        <v>器具及び備品_５　看板及び広告器具_その他のもの　その他のもの</v>
      </c>
      <c r="S154" s="100">
        <v>5</v>
      </c>
      <c r="AC154" s="9">
        <v>5</v>
      </c>
      <c r="AD154" s="1">
        <v>30</v>
      </c>
    </row>
    <row r="155" spans="3:30">
      <c r="C155" s="100"/>
      <c r="D155" s="100"/>
      <c r="E155" s="100"/>
      <c r="F155" s="100"/>
      <c r="G155" s="100"/>
      <c r="H155" s="100"/>
      <c r="I155" s="9" t="s">
        <v>283</v>
      </c>
      <c r="J155" s="9" t="s">
        <v>386</v>
      </c>
      <c r="K155" s="9" t="str">
        <f t="shared" si="4"/>
        <v>器具及び備品_８　医療機器</v>
      </c>
      <c r="L155" s="100" t="s">
        <v>388</v>
      </c>
      <c r="M155" s="100" t="s">
        <v>216</v>
      </c>
      <c r="N155" s="100" t="s">
        <v>227</v>
      </c>
      <c r="O155" s="100" t="s">
        <v>283</v>
      </c>
      <c r="P155" s="100" t="s">
        <v>377</v>
      </c>
      <c r="Q155" s="100" t="s">
        <v>378</v>
      </c>
      <c r="R155" s="9" t="str">
        <f t="shared" si="5"/>
        <v>器具及び備品_６　容器及び金庫_ボンベ　溶接製のもの</v>
      </c>
      <c r="S155" s="100">
        <v>6</v>
      </c>
      <c r="AC155" s="1">
        <v>6</v>
      </c>
      <c r="AD155" s="122" t="s">
        <v>161</v>
      </c>
    </row>
    <row r="156" spans="3:30">
      <c r="C156" s="100"/>
      <c r="D156" s="100"/>
      <c r="E156" s="100"/>
      <c r="F156" s="100"/>
      <c r="G156" s="100"/>
      <c r="H156" s="100"/>
      <c r="I156" s="9" t="s">
        <v>283</v>
      </c>
      <c r="J156" s="9" t="s">
        <v>386</v>
      </c>
      <c r="K156" s="9" t="str">
        <f t="shared" si="4"/>
        <v>器具及び備品_８　医療機器</v>
      </c>
      <c r="L156" s="100" t="s">
        <v>389</v>
      </c>
      <c r="M156" s="100" t="s">
        <v>216</v>
      </c>
      <c r="N156" s="100" t="s">
        <v>227</v>
      </c>
      <c r="O156" s="100" t="s">
        <v>283</v>
      </c>
      <c r="P156" s="100" t="s">
        <v>377</v>
      </c>
      <c r="Q156" s="100" t="s">
        <v>379</v>
      </c>
      <c r="R156" s="9" t="str">
        <f t="shared" si="5"/>
        <v>器具及び備品_６　容器及び金庫_ボンベ　鍛造製のもの　塩素用のもの</v>
      </c>
      <c r="S156" s="100">
        <v>8</v>
      </c>
      <c r="AC156" s="9">
        <v>6</v>
      </c>
      <c r="AD156" s="1">
        <v>1</v>
      </c>
    </row>
    <row r="157" spans="3:30">
      <c r="C157" s="100"/>
      <c r="D157" s="100"/>
      <c r="E157" s="100"/>
      <c r="F157" s="100"/>
      <c r="G157" s="100"/>
      <c r="H157" s="100"/>
      <c r="I157" s="9" t="s">
        <v>283</v>
      </c>
      <c r="J157" s="9" t="s">
        <v>386</v>
      </c>
      <c r="K157" s="9" t="str">
        <f t="shared" si="4"/>
        <v>器具及び備品_８　医療機器</v>
      </c>
      <c r="L157" s="100" t="s">
        <v>390</v>
      </c>
      <c r="M157" s="100" t="s">
        <v>216</v>
      </c>
      <c r="N157" s="100" t="s">
        <v>227</v>
      </c>
      <c r="O157" s="100" t="s">
        <v>283</v>
      </c>
      <c r="P157" s="100" t="s">
        <v>377</v>
      </c>
      <c r="Q157" s="100" t="s">
        <v>380</v>
      </c>
      <c r="R157" s="9" t="str">
        <f t="shared" si="5"/>
        <v>器具及び備品_６　容器及び金庫_ボンベ　鍛造製のもの　その他のもの</v>
      </c>
      <c r="S157" s="100">
        <v>10</v>
      </c>
      <c r="AC157" s="9">
        <v>6</v>
      </c>
      <c r="AD157" s="1">
        <v>2</v>
      </c>
    </row>
    <row r="158" spans="3:30">
      <c r="C158" s="100"/>
      <c r="D158" s="100"/>
      <c r="E158" s="100"/>
      <c r="F158" s="100"/>
      <c r="G158" s="100"/>
      <c r="H158" s="100"/>
      <c r="I158" s="9" t="s">
        <v>283</v>
      </c>
      <c r="J158" s="9" t="s">
        <v>386</v>
      </c>
      <c r="K158" s="9" t="str">
        <f t="shared" si="4"/>
        <v>器具及び備品_８　医療機器</v>
      </c>
      <c r="L158" s="100" t="s">
        <v>391</v>
      </c>
      <c r="M158" s="100" t="s">
        <v>216</v>
      </c>
      <c r="N158" s="100" t="s">
        <v>227</v>
      </c>
      <c r="O158" s="100" t="s">
        <v>283</v>
      </c>
      <c r="P158" s="100" t="s">
        <v>377</v>
      </c>
      <c r="Q158" s="100" t="s">
        <v>381</v>
      </c>
      <c r="R158" s="9" t="str">
        <f t="shared" si="5"/>
        <v>器具及び備品_６　容器及び金庫_ドラムかん、コンテナーその他の容器　大型コンテナー（長さが六メートル以上のものに限る。）</v>
      </c>
      <c r="S158" s="100">
        <v>7</v>
      </c>
      <c r="AC158" s="9">
        <v>6</v>
      </c>
      <c r="AD158" s="1">
        <v>3</v>
      </c>
    </row>
    <row r="159" spans="3:30">
      <c r="C159" s="100"/>
      <c r="D159" s="100"/>
      <c r="E159" s="100"/>
      <c r="F159" s="100"/>
      <c r="G159" s="100"/>
      <c r="H159" s="100"/>
      <c r="I159" s="9" t="s">
        <v>283</v>
      </c>
      <c r="J159" s="9" t="s">
        <v>386</v>
      </c>
      <c r="K159" s="9" t="str">
        <f t="shared" si="4"/>
        <v>器具及び備品_８　医療機器</v>
      </c>
      <c r="L159" s="100" t="s">
        <v>392</v>
      </c>
      <c r="M159" s="100" t="s">
        <v>216</v>
      </c>
      <c r="N159" s="100" t="s">
        <v>227</v>
      </c>
      <c r="O159" s="100" t="s">
        <v>283</v>
      </c>
      <c r="P159" s="100" t="s">
        <v>377</v>
      </c>
      <c r="Q159" s="100" t="s">
        <v>382</v>
      </c>
      <c r="R159" s="9" t="str">
        <f t="shared" si="5"/>
        <v>器具及び備品_６　容器及び金庫_ドラムかん、コンテナーその他の容器　その他のもの　金属製のもの</v>
      </c>
      <c r="S159" s="100">
        <v>3</v>
      </c>
      <c r="AC159" s="9">
        <v>6</v>
      </c>
      <c r="AD159" s="1">
        <v>4</v>
      </c>
    </row>
    <row r="160" spans="3:30">
      <c r="C160" s="100"/>
      <c r="D160" s="100"/>
      <c r="E160" s="100"/>
      <c r="F160" s="100"/>
      <c r="G160" s="100"/>
      <c r="H160" s="100"/>
      <c r="I160" s="9" t="s">
        <v>283</v>
      </c>
      <c r="J160" s="9" t="s">
        <v>386</v>
      </c>
      <c r="K160" s="9" t="str">
        <f t="shared" si="4"/>
        <v>器具及び備品_８　医療機器</v>
      </c>
      <c r="L160" s="100" t="s">
        <v>393</v>
      </c>
      <c r="M160" s="100" t="s">
        <v>216</v>
      </c>
      <c r="N160" s="100" t="s">
        <v>227</v>
      </c>
      <c r="O160" s="100" t="s">
        <v>283</v>
      </c>
      <c r="P160" s="100" t="s">
        <v>377</v>
      </c>
      <c r="Q160" s="100" t="s">
        <v>383</v>
      </c>
      <c r="R160" s="9" t="str">
        <f t="shared" si="5"/>
        <v>器具及び備品_６　容器及び金庫_ドラムかん、コンテナーその他の容器　その他のもの　その他のもの</v>
      </c>
      <c r="S160" s="100">
        <v>2</v>
      </c>
      <c r="AC160" s="9">
        <v>6</v>
      </c>
      <c r="AD160" s="1">
        <v>5</v>
      </c>
    </row>
    <row r="161" spans="3:30">
      <c r="C161" s="100"/>
      <c r="D161" s="100"/>
      <c r="E161" s="100"/>
      <c r="F161" s="100"/>
      <c r="G161" s="100"/>
      <c r="H161" s="100"/>
      <c r="I161" s="9" t="s">
        <v>283</v>
      </c>
      <c r="J161" s="9" t="s">
        <v>386</v>
      </c>
      <c r="K161" s="9" t="str">
        <f t="shared" si="4"/>
        <v>器具及び備品_８　医療機器</v>
      </c>
      <c r="L161" s="100" t="s">
        <v>394</v>
      </c>
      <c r="M161" s="100" t="s">
        <v>216</v>
      </c>
      <c r="N161" s="100" t="s">
        <v>227</v>
      </c>
      <c r="O161" s="100" t="s">
        <v>283</v>
      </c>
      <c r="P161" s="100" t="s">
        <v>377</v>
      </c>
      <c r="Q161" s="100" t="s">
        <v>384</v>
      </c>
      <c r="R161" s="9" t="str">
        <f t="shared" si="5"/>
        <v>器具及び備品_６　容器及び金庫_金庫　手さげ金庫</v>
      </c>
      <c r="S161" s="100">
        <v>5</v>
      </c>
      <c r="AC161" s="9">
        <v>6</v>
      </c>
      <c r="AD161" s="1">
        <v>6</v>
      </c>
    </row>
    <row r="162" spans="3:30">
      <c r="C162" s="100"/>
      <c r="D162" s="100"/>
      <c r="E162" s="100"/>
      <c r="F162" s="100"/>
      <c r="G162" s="100"/>
      <c r="H162" s="100"/>
      <c r="I162" s="9" t="s">
        <v>283</v>
      </c>
      <c r="J162" s="9" t="s">
        <v>386</v>
      </c>
      <c r="K162" s="9" t="str">
        <f t="shared" si="4"/>
        <v>器具及び備品_８　医療機器</v>
      </c>
      <c r="L162" s="100" t="s">
        <v>395</v>
      </c>
      <c r="M162" s="100" t="s">
        <v>216</v>
      </c>
      <c r="N162" s="100" t="s">
        <v>227</v>
      </c>
      <c r="O162" s="100" t="s">
        <v>283</v>
      </c>
      <c r="P162" s="100" t="s">
        <v>377</v>
      </c>
      <c r="Q162" s="100" t="s">
        <v>385</v>
      </c>
      <c r="R162" s="9" t="str">
        <f t="shared" si="5"/>
        <v>器具及び備品_６　容器及び金庫_金庫　その他のもの</v>
      </c>
      <c r="S162" s="100">
        <v>20</v>
      </c>
      <c r="AC162" s="9">
        <v>6</v>
      </c>
      <c r="AD162" s="1">
        <v>7</v>
      </c>
    </row>
    <row r="163" spans="3:30">
      <c r="C163" s="100"/>
      <c r="D163" s="100"/>
      <c r="E163" s="100"/>
      <c r="F163" s="100"/>
      <c r="G163" s="100"/>
      <c r="H163" s="100"/>
      <c r="I163" s="9" t="s">
        <v>283</v>
      </c>
      <c r="J163" s="9" t="s">
        <v>386</v>
      </c>
      <c r="K163" s="9" t="str">
        <f t="shared" si="4"/>
        <v>器具及び備品_８　医療機器</v>
      </c>
      <c r="L163" s="100" t="s">
        <v>396</v>
      </c>
      <c r="M163" s="100" t="s">
        <v>216</v>
      </c>
      <c r="N163" s="100" t="s">
        <v>227</v>
      </c>
      <c r="O163" s="100" t="s">
        <v>283</v>
      </c>
      <c r="P163" s="100" t="s">
        <v>397</v>
      </c>
      <c r="Q163" s="100"/>
      <c r="R163" s="9" t="str">
        <f t="shared" si="5"/>
        <v>器具及び備品_７　理容又は美容機器_</v>
      </c>
      <c r="S163" s="100">
        <v>5</v>
      </c>
      <c r="AC163" s="9">
        <v>6</v>
      </c>
      <c r="AD163" s="1">
        <v>8</v>
      </c>
    </row>
    <row r="164" spans="3:30">
      <c r="C164" s="100"/>
      <c r="D164" s="100"/>
      <c r="E164" s="100"/>
      <c r="F164" s="100"/>
      <c r="G164" s="100"/>
      <c r="H164" s="100"/>
      <c r="I164" s="9" t="s">
        <v>283</v>
      </c>
      <c r="J164" s="9" t="s">
        <v>386</v>
      </c>
      <c r="K164" s="9" t="str">
        <f t="shared" si="4"/>
        <v>器具及び備品_８　医療機器</v>
      </c>
      <c r="L164" s="100" t="s">
        <v>398</v>
      </c>
      <c r="M164" s="100" t="s">
        <v>216</v>
      </c>
      <c r="N164" s="100" t="s">
        <v>227</v>
      </c>
      <c r="O164" s="100" t="s">
        <v>283</v>
      </c>
      <c r="P164" s="100" t="s">
        <v>386</v>
      </c>
      <c r="Q164" s="100" t="s">
        <v>387</v>
      </c>
      <c r="R164" s="9" t="str">
        <f t="shared" si="5"/>
        <v>器具及び備品_８　医療機器_消毒殺菌用機器</v>
      </c>
      <c r="S164" s="100">
        <v>4</v>
      </c>
      <c r="AC164" s="9">
        <v>6</v>
      </c>
      <c r="AD164" s="1">
        <v>9</v>
      </c>
    </row>
    <row r="165" spans="3:30">
      <c r="C165" s="100"/>
      <c r="D165" s="100"/>
      <c r="E165" s="100"/>
      <c r="F165" s="100"/>
      <c r="G165" s="100"/>
      <c r="H165" s="100"/>
      <c r="I165" s="9" t="s">
        <v>283</v>
      </c>
      <c r="J165" s="9" t="s">
        <v>386</v>
      </c>
      <c r="K165" s="9" t="str">
        <f t="shared" si="4"/>
        <v>器具及び備品_８　医療機器</v>
      </c>
      <c r="L165" s="100" t="s">
        <v>399</v>
      </c>
      <c r="M165" s="100" t="s">
        <v>216</v>
      </c>
      <c r="N165" s="100" t="s">
        <v>227</v>
      </c>
      <c r="O165" s="100" t="s">
        <v>283</v>
      </c>
      <c r="P165" s="100" t="s">
        <v>386</v>
      </c>
      <c r="Q165" s="100" t="s">
        <v>388</v>
      </c>
      <c r="R165" s="9" t="str">
        <f t="shared" si="5"/>
        <v>器具及び備品_８　医療機器_手術機器</v>
      </c>
      <c r="S165" s="100">
        <v>5</v>
      </c>
      <c r="AC165" s="9">
        <v>6</v>
      </c>
      <c r="AD165" s="1">
        <v>10</v>
      </c>
    </row>
    <row r="166" spans="3:30">
      <c r="C166" s="100"/>
      <c r="D166" s="100"/>
      <c r="E166" s="100"/>
      <c r="F166" s="100"/>
      <c r="G166" s="100"/>
      <c r="H166" s="100"/>
      <c r="I166" s="9" t="s">
        <v>283</v>
      </c>
      <c r="J166" s="9" t="s">
        <v>386</v>
      </c>
      <c r="K166" s="9" t="str">
        <f t="shared" si="4"/>
        <v>器具及び備品_８　医療機器</v>
      </c>
      <c r="L166" s="100" t="s">
        <v>400</v>
      </c>
      <c r="M166" s="100" t="s">
        <v>216</v>
      </c>
      <c r="N166" s="100" t="s">
        <v>227</v>
      </c>
      <c r="O166" s="100" t="s">
        <v>283</v>
      </c>
      <c r="P166" s="100" t="s">
        <v>386</v>
      </c>
      <c r="Q166" s="100" t="s">
        <v>389</v>
      </c>
      <c r="R166" s="9" t="str">
        <f t="shared" si="5"/>
        <v>器具及び備品_８　医療機器_血液透析又は血しよう交換用機器</v>
      </c>
      <c r="S166" s="100">
        <v>7</v>
      </c>
      <c r="AC166" s="9">
        <v>6</v>
      </c>
      <c r="AD166" s="1">
        <v>11</v>
      </c>
    </row>
    <row r="167" spans="3:30">
      <c r="C167" s="100"/>
      <c r="D167" s="100"/>
      <c r="E167" s="100"/>
      <c r="F167" s="100"/>
      <c r="G167" s="100"/>
      <c r="H167" s="100"/>
      <c r="I167" s="9" t="s">
        <v>283</v>
      </c>
      <c r="J167" s="100" t="s">
        <v>401</v>
      </c>
      <c r="K167" s="9" t="str">
        <f t="shared" si="4"/>
        <v>器具及び備品_９　娯楽又はスポーツ器具及び興行又は演劇用具</v>
      </c>
      <c r="L167" s="100" t="s">
        <v>402</v>
      </c>
      <c r="M167" s="100" t="s">
        <v>216</v>
      </c>
      <c r="N167" s="100" t="s">
        <v>227</v>
      </c>
      <c r="O167" s="100" t="s">
        <v>283</v>
      </c>
      <c r="P167" s="100" t="s">
        <v>386</v>
      </c>
      <c r="Q167" s="100" t="s">
        <v>390</v>
      </c>
      <c r="R167" s="9" t="str">
        <f t="shared" si="5"/>
        <v>器具及び備品_８　医療機器_ハバードタンクその他の作動部分を有する機能回復訓練機器</v>
      </c>
      <c r="S167" s="100">
        <v>6</v>
      </c>
      <c r="AC167" s="9">
        <v>6</v>
      </c>
      <c r="AD167" s="1">
        <v>12</v>
      </c>
    </row>
    <row r="168" spans="3:30">
      <c r="C168" s="100"/>
      <c r="D168" s="100"/>
      <c r="E168" s="100"/>
      <c r="F168" s="100"/>
      <c r="G168" s="100"/>
      <c r="H168" s="100"/>
      <c r="I168" s="9" t="s">
        <v>283</v>
      </c>
      <c r="J168" s="9" t="s">
        <v>401</v>
      </c>
      <c r="K168" s="9" t="str">
        <f t="shared" si="4"/>
        <v>器具及び備品_９　娯楽又はスポーツ器具及び興行又は演劇用具</v>
      </c>
      <c r="L168" s="100" t="s">
        <v>403</v>
      </c>
      <c r="M168" s="100" t="s">
        <v>216</v>
      </c>
      <c r="N168" s="100" t="s">
        <v>227</v>
      </c>
      <c r="O168" s="100" t="s">
        <v>283</v>
      </c>
      <c r="P168" s="100" t="s">
        <v>386</v>
      </c>
      <c r="Q168" s="100" t="s">
        <v>391</v>
      </c>
      <c r="R168" s="9" t="str">
        <f t="shared" si="5"/>
        <v>器具及び備品_８　医療機器_調剤機器</v>
      </c>
      <c r="S168" s="100">
        <v>6</v>
      </c>
      <c r="AC168" s="9">
        <v>6</v>
      </c>
      <c r="AD168" s="1">
        <v>13</v>
      </c>
    </row>
    <row r="169" spans="3:30">
      <c r="C169" s="100"/>
      <c r="D169" s="100"/>
      <c r="E169" s="100"/>
      <c r="F169" s="100"/>
      <c r="G169" s="100"/>
      <c r="H169" s="100"/>
      <c r="I169" s="9" t="s">
        <v>283</v>
      </c>
      <c r="J169" s="9" t="s">
        <v>401</v>
      </c>
      <c r="K169" s="9" t="str">
        <f t="shared" si="4"/>
        <v>器具及び備品_９　娯楽又はスポーツ器具及び興行又は演劇用具</v>
      </c>
      <c r="L169" s="100" t="s">
        <v>404</v>
      </c>
      <c r="M169" s="100" t="s">
        <v>216</v>
      </c>
      <c r="N169" s="100" t="s">
        <v>227</v>
      </c>
      <c r="O169" s="100" t="s">
        <v>283</v>
      </c>
      <c r="P169" s="100" t="s">
        <v>386</v>
      </c>
      <c r="Q169" s="100" t="s">
        <v>392</v>
      </c>
      <c r="R169" s="9" t="str">
        <f t="shared" si="5"/>
        <v>器具及び備品_８　医療機器_歯科診療用ユニット</v>
      </c>
      <c r="S169" s="100">
        <v>7</v>
      </c>
      <c r="AC169" s="9">
        <v>6</v>
      </c>
      <c r="AD169" s="1">
        <v>14</v>
      </c>
    </row>
    <row r="170" spans="3:30">
      <c r="C170" s="100"/>
      <c r="D170" s="100"/>
      <c r="E170" s="100"/>
      <c r="F170" s="100"/>
      <c r="G170" s="100"/>
      <c r="H170" s="100"/>
      <c r="I170" s="9" t="s">
        <v>283</v>
      </c>
      <c r="J170" s="9" t="s">
        <v>401</v>
      </c>
      <c r="K170" s="9" t="str">
        <f t="shared" si="4"/>
        <v>器具及び備品_９　娯楽又はスポーツ器具及び興行又は演劇用具</v>
      </c>
      <c r="L170" s="100" t="s">
        <v>405</v>
      </c>
      <c r="M170" s="100" t="s">
        <v>216</v>
      </c>
      <c r="N170" s="100" t="s">
        <v>227</v>
      </c>
      <c r="O170" s="100" t="s">
        <v>283</v>
      </c>
      <c r="P170" s="100" t="s">
        <v>386</v>
      </c>
      <c r="Q170" s="100" t="s">
        <v>393</v>
      </c>
      <c r="R170" s="9" t="str">
        <f t="shared" si="5"/>
        <v>器具及び備品_８　医療機器_光学検査機器　ファイバースコープ</v>
      </c>
      <c r="S170" s="100">
        <v>6</v>
      </c>
      <c r="AC170" s="9">
        <v>6</v>
      </c>
      <c r="AD170" s="1">
        <v>15</v>
      </c>
    </row>
    <row r="171" spans="3:30">
      <c r="C171" s="100"/>
      <c r="D171" s="100"/>
      <c r="E171" s="100"/>
      <c r="F171" s="100"/>
      <c r="G171" s="100"/>
      <c r="H171" s="100"/>
      <c r="I171" s="9" t="s">
        <v>283</v>
      </c>
      <c r="J171" s="9" t="s">
        <v>401</v>
      </c>
      <c r="K171" s="9" t="str">
        <f t="shared" si="4"/>
        <v>器具及び備品_９　娯楽又はスポーツ器具及び興行又は演劇用具</v>
      </c>
      <c r="L171" s="100" t="s">
        <v>406</v>
      </c>
      <c r="M171" s="100" t="s">
        <v>216</v>
      </c>
      <c r="N171" s="100" t="s">
        <v>227</v>
      </c>
      <c r="O171" s="100" t="s">
        <v>283</v>
      </c>
      <c r="P171" s="100" t="s">
        <v>386</v>
      </c>
      <c r="Q171" s="100" t="s">
        <v>394</v>
      </c>
      <c r="R171" s="9" t="str">
        <f t="shared" si="5"/>
        <v>器具及び備品_８　医療機器_光学検査機器　その他のもの</v>
      </c>
      <c r="S171" s="100">
        <v>8</v>
      </c>
      <c r="AC171" s="9">
        <v>6</v>
      </c>
      <c r="AD171" s="1">
        <v>16</v>
      </c>
    </row>
    <row r="172" spans="3:30">
      <c r="C172" s="100"/>
      <c r="D172" s="100"/>
      <c r="E172" s="100"/>
      <c r="F172" s="100"/>
      <c r="G172" s="100"/>
      <c r="H172" s="100"/>
      <c r="I172" s="9" t="s">
        <v>283</v>
      </c>
      <c r="J172" s="9" t="s">
        <v>401</v>
      </c>
      <c r="K172" s="9" t="str">
        <f t="shared" si="4"/>
        <v>器具及び備品_９　娯楽又はスポーツ器具及び興行又は演劇用具</v>
      </c>
      <c r="L172" s="100" t="s">
        <v>407</v>
      </c>
      <c r="M172" s="100" t="s">
        <v>216</v>
      </c>
      <c r="N172" s="100" t="s">
        <v>227</v>
      </c>
      <c r="O172" s="100" t="s">
        <v>283</v>
      </c>
      <c r="P172" s="100" t="s">
        <v>386</v>
      </c>
      <c r="Q172" s="100" t="s">
        <v>395</v>
      </c>
      <c r="R172" s="9" t="str">
        <f t="shared" si="5"/>
        <v>器具及び備品_８　医療機器_その他のもの　レントゲンその他の電子装置を使用する機器　移動式のもの、救急医療用のもの及び自動血液分析器</v>
      </c>
      <c r="S172" s="100">
        <v>4</v>
      </c>
      <c r="AC172" s="9">
        <v>6</v>
      </c>
      <c r="AD172" s="1">
        <v>17</v>
      </c>
    </row>
    <row r="173" spans="3:30">
      <c r="C173" s="100"/>
      <c r="D173" s="100"/>
      <c r="E173" s="100"/>
      <c r="F173" s="100"/>
      <c r="G173" s="100"/>
      <c r="H173" s="100"/>
      <c r="I173" s="9" t="s">
        <v>283</v>
      </c>
      <c r="J173" s="9" t="s">
        <v>401</v>
      </c>
      <c r="K173" s="9" t="str">
        <f t="shared" si="4"/>
        <v>器具及び備品_９　娯楽又はスポーツ器具及び興行又は演劇用具</v>
      </c>
      <c r="L173" s="100" t="s">
        <v>408</v>
      </c>
      <c r="M173" s="100" t="s">
        <v>216</v>
      </c>
      <c r="N173" s="100" t="s">
        <v>227</v>
      </c>
      <c r="O173" s="100" t="s">
        <v>283</v>
      </c>
      <c r="P173" s="100" t="s">
        <v>386</v>
      </c>
      <c r="Q173" s="100" t="s">
        <v>396</v>
      </c>
      <c r="R173" s="9" t="str">
        <f t="shared" si="5"/>
        <v>器具及び備品_８　医療機器_その他のもの　レントゲンその他の電子装置を使用する機器　その他のもの</v>
      </c>
      <c r="S173" s="100">
        <v>6</v>
      </c>
      <c r="AC173" s="9">
        <v>6</v>
      </c>
      <c r="AD173" s="1">
        <v>18</v>
      </c>
    </row>
    <row r="174" spans="3:30">
      <c r="C174" s="100"/>
      <c r="D174" s="100"/>
      <c r="E174" s="100"/>
      <c r="F174" s="100"/>
      <c r="G174" s="100"/>
      <c r="H174" s="100"/>
      <c r="I174" s="9" t="s">
        <v>283</v>
      </c>
      <c r="J174" s="9" t="s">
        <v>401</v>
      </c>
      <c r="K174" s="9" t="str">
        <f t="shared" si="4"/>
        <v>器具及び備品_９　娯楽又はスポーツ器具及び興行又は演劇用具</v>
      </c>
      <c r="L174" s="100" t="s">
        <v>353</v>
      </c>
      <c r="M174" s="100" t="s">
        <v>216</v>
      </c>
      <c r="N174" s="100" t="s">
        <v>227</v>
      </c>
      <c r="O174" s="100" t="s">
        <v>283</v>
      </c>
      <c r="P174" s="100" t="s">
        <v>386</v>
      </c>
      <c r="Q174" s="100" t="s">
        <v>398</v>
      </c>
      <c r="R174" s="9" t="str">
        <f t="shared" si="5"/>
        <v>器具及び備品_８　医療機器_その他のもの　その他のもの　陶磁器製又はガラス製のもの</v>
      </c>
      <c r="S174" s="100">
        <v>3</v>
      </c>
      <c r="AC174" s="9">
        <v>6</v>
      </c>
      <c r="AD174" s="1">
        <v>19</v>
      </c>
    </row>
    <row r="175" spans="3:30">
      <c r="C175" s="100"/>
      <c r="D175" s="100"/>
      <c r="E175" s="100"/>
      <c r="F175" s="100"/>
      <c r="G175" s="100"/>
      <c r="H175" s="100"/>
      <c r="I175" s="9" t="s">
        <v>283</v>
      </c>
      <c r="J175" s="9" t="s">
        <v>401</v>
      </c>
      <c r="K175" s="9" t="str">
        <f t="shared" si="4"/>
        <v>器具及び備品_９　娯楽又はスポーツ器具及び興行又は演劇用具</v>
      </c>
      <c r="L175" s="100" t="s">
        <v>354</v>
      </c>
      <c r="M175" s="100" t="s">
        <v>216</v>
      </c>
      <c r="N175" s="100" t="s">
        <v>227</v>
      </c>
      <c r="O175" s="100" t="s">
        <v>283</v>
      </c>
      <c r="P175" s="100" t="s">
        <v>386</v>
      </c>
      <c r="Q175" s="100" t="s">
        <v>399</v>
      </c>
      <c r="R175" s="9" t="str">
        <f t="shared" si="5"/>
        <v>器具及び備品_８　医療機器_その他のもの　その他のもの　主として金属製のもの</v>
      </c>
      <c r="S175" s="100">
        <v>10</v>
      </c>
      <c r="AC175" s="9">
        <v>6</v>
      </c>
      <c r="AD175" s="1">
        <v>20</v>
      </c>
    </row>
    <row r="176" spans="3:30">
      <c r="C176" s="100"/>
      <c r="D176" s="100"/>
      <c r="E176" s="100"/>
      <c r="F176" s="100"/>
      <c r="G176" s="100"/>
      <c r="H176" s="100"/>
      <c r="I176" s="9" t="s">
        <v>283</v>
      </c>
      <c r="J176" s="100" t="s">
        <v>409</v>
      </c>
      <c r="K176" s="9" t="str">
        <f t="shared" si="4"/>
        <v>器具及び備品_１０　生物</v>
      </c>
      <c r="L176" s="100" t="s">
        <v>410</v>
      </c>
      <c r="M176" s="100" t="s">
        <v>216</v>
      </c>
      <c r="N176" s="100" t="s">
        <v>227</v>
      </c>
      <c r="O176" s="100" t="s">
        <v>283</v>
      </c>
      <c r="P176" s="100" t="s">
        <v>386</v>
      </c>
      <c r="Q176" s="100" t="s">
        <v>400</v>
      </c>
      <c r="R176" s="9" t="str">
        <f t="shared" si="5"/>
        <v>器具及び備品_８　医療機器_その他のもの　その他のもの　その他のもの</v>
      </c>
      <c r="S176" s="100">
        <v>5</v>
      </c>
      <c r="AC176" s="9">
        <v>6</v>
      </c>
      <c r="AD176" s="1">
        <v>21</v>
      </c>
    </row>
    <row r="177" spans="3:30">
      <c r="C177" s="100"/>
      <c r="D177" s="100"/>
      <c r="E177" s="100"/>
      <c r="F177" s="100"/>
      <c r="G177" s="100"/>
      <c r="H177" s="100"/>
      <c r="I177" s="9" t="s">
        <v>283</v>
      </c>
      <c r="J177" s="9" t="s">
        <v>409</v>
      </c>
      <c r="K177" s="9" t="str">
        <f t="shared" si="4"/>
        <v>器具及び備品_１０　生物</v>
      </c>
      <c r="L177" s="100" t="s">
        <v>411</v>
      </c>
      <c r="M177" s="100" t="s">
        <v>216</v>
      </c>
      <c r="N177" s="100" t="s">
        <v>227</v>
      </c>
      <c r="O177" s="100" t="s">
        <v>283</v>
      </c>
      <c r="P177" s="100" t="s">
        <v>401</v>
      </c>
      <c r="Q177" s="100" t="s">
        <v>402</v>
      </c>
      <c r="R177" s="9" t="str">
        <f t="shared" si="5"/>
        <v>器具及び備品_９　娯楽又はスポーツ器具及び興行又は演劇用具_たまつき用具</v>
      </c>
      <c r="S177" s="100">
        <v>8</v>
      </c>
      <c r="AC177" s="9">
        <v>6</v>
      </c>
      <c r="AD177" s="1">
        <v>22</v>
      </c>
    </row>
    <row r="178" spans="3:30">
      <c r="C178" s="100"/>
      <c r="D178" s="100"/>
      <c r="E178" s="100"/>
      <c r="F178" s="100"/>
      <c r="G178" s="100"/>
      <c r="H178" s="100"/>
      <c r="I178" s="9" t="s">
        <v>283</v>
      </c>
      <c r="J178" s="9" t="s">
        <v>409</v>
      </c>
      <c r="K178" s="9" t="str">
        <f t="shared" si="4"/>
        <v>器具及び備品_１０　生物</v>
      </c>
      <c r="L178" s="100" t="s">
        <v>412</v>
      </c>
      <c r="M178" s="100" t="s">
        <v>216</v>
      </c>
      <c r="N178" s="100" t="s">
        <v>227</v>
      </c>
      <c r="O178" s="100" t="s">
        <v>283</v>
      </c>
      <c r="P178" s="100" t="s">
        <v>401</v>
      </c>
      <c r="Q178" s="100" t="s">
        <v>403</v>
      </c>
      <c r="R178" s="9" t="str">
        <f t="shared" si="5"/>
        <v>器具及び備品_９　娯楽又はスポーツ器具及び興行又は演劇用具_パチンコ器、ビンゴ器その他これらに類する球戯用具及び射的用具</v>
      </c>
      <c r="S178" s="100">
        <v>2</v>
      </c>
      <c r="AC178" s="9">
        <v>6</v>
      </c>
      <c r="AD178" s="1">
        <v>23</v>
      </c>
    </row>
    <row r="179" spans="3:30">
      <c r="C179" s="100"/>
      <c r="D179" s="100"/>
      <c r="E179" s="100"/>
      <c r="F179" s="100"/>
      <c r="G179" s="100"/>
      <c r="H179" s="100"/>
      <c r="I179" s="9" t="s">
        <v>283</v>
      </c>
      <c r="J179" s="9" t="s">
        <v>409</v>
      </c>
      <c r="K179" s="9" t="str">
        <f t="shared" si="4"/>
        <v>器具及び備品_１０　生物</v>
      </c>
      <c r="L179" s="100" t="s">
        <v>413</v>
      </c>
      <c r="M179" s="100" t="s">
        <v>216</v>
      </c>
      <c r="N179" s="100" t="s">
        <v>227</v>
      </c>
      <c r="O179" s="100" t="s">
        <v>283</v>
      </c>
      <c r="P179" s="100" t="s">
        <v>401</v>
      </c>
      <c r="Q179" s="100" t="s">
        <v>404</v>
      </c>
      <c r="R179" s="9" t="str">
        <f t="shared" si="5"/>
        <v>器具及び備品_９　娯楽又はスポーツ器具及び興行又は演劇用具_ご、しようぎ、まあじやん、その他の遊戯具</v>
      </c>
      <c r="S179" s="100">
        <v>5</v>
      </c>
      <c r="AC179" s="9">
        <v>6</v>
      </c>
      <c r="AD179" s="1">
        <v>24</v>
      </c>
    </row>
    <row r="180" spans="3:30">
      <c r="C180" s="100"/>
      <c r="D180" s="100"/>
      <c r="E180" s="100"/>
      <c r="F180" s="100"/>
      <c r="G180" s="100"/>
      <c r="H180" s="100"/>
      <c r="I180" s="9" t="s">
        <v>283</v>
      </c>
      <c r="J180" s="9" t="s">
        <v>409</v>
      </c>
      <c r="K180" s="9" t="str">
        <f t="shared" si="4"/>
        <v>器具及び備品_１０　生物</v>
      </c>
      <c r="L180" s="100" t="s">
        <v>414</v>
      </c>
      <c r="M180" s="100" t="s">
        <v>216</v>
      </c>
      <c r="N180" s="100" t="s">
        <v>227</v>
      </c>
      <c r="O180" s="100" t="s">
        <v>283</v>
      </c>
      <c r="P180" s="100" t="s">
        <v>401</v>
      </c>
      <c r="Q180" s="100" t="s">
        <v>405</v>
      </c>
      <c r="R180" s="9" t="str">
        <f t="shared" si="5"/>
        <v>器具及び備品_９　娯楽又はスポーツ器具及び興行又は演劇用具_スポーツ具</v>
      </c>
      <c r="S180" s="100">
        <v>3</v>
      </c>
      <c r="AC180" s="9">
        <v>6</v>
      </c>
      <c r="AD180" s="1">
        <v>25</v>
      </c>
    </row>
    <row r="181" spans="3:30">
      <c r="C181" s="100"/>
      <c r="D181" s="100"/>
      <c r="E181" s="100"/>
      <c r="F181" s="100"/>
      <c r="G181" s="100"/>
      <c r="H181" s="100"/>
      <c r="I181" s="9" t="s">
        <v>283</v>
      </c>
      <c r="J181" s="100" t="s">
        <v>415</v>
      </c>
      <c r="K181" s="9" t="str">
        <f t="shared" si="4"/>
        <v>器具及び備品_１１　前掲のもの以外のもの</v>
      </c>
      <c r="L181" s="100" t="s">
        <v>416</v>
      </c>
      <c r="M181" s="100" t="s">
        <v>216</v>
      </c>
      <c r="N181" s="100" t="s">
        <v>227</v>
      </c>
      <c r="O181" s="100" t="s">
        <v>283</v>
      </c>
      <c r="P181" s="100" t="s">
        <v>401</v>
      </c>
      <c r="Q181" s="100" t="s">
        <v>406</v>
      </c>
      <c r="R181" s="9" t="str">
        <f t="shared" si="5"/>
        <v>器具及び備品_９　娯楽又はスポーツ器具及び興行又は演劇用具_劇場用観客いす</v>
      </c>
      <c r="S181" s="100">
        <v>3</v>
      </c>
      <c r="AC181" s="9">
        <v>6</v>
      </c>
      <c r="AD181" s="1">
        <v>26</v>
      </c>
    </row>
    <row r="182" spans="3:30">
      <c r="C182" s="100"/>
      <c r="D182" s="100"/>
      <c r="E182" s="100"/>
      <c r="F182" s="100"/>
      <c r="G182" s="100"/>
      <c r="H182" s="100"/>
      <c r="I182" s="9" t="s">
        <v>283</v>
      </c>
      <c r="J182" s="9" t="s">
        <v>415</v>
      </c>
      <c r="K182" s="9" t="str">
        <f t="shared" si="4"/>
        <v>器具及び備品_１１　前掲のもの以外のもの</v>
      </c>
      <c r="L182" s="100" t="s">
        <v>417</v>
      </c>
      <c r="M182" s="100" t="s">
        <v>216</v>
      </c>
      <c r="N182" s="100" t="s">
        <v>227</v>
      </c>
      <c r="O182" s="100" t="s">
        <v>283</v>
      </c>
      <c r="P182" s="100" t="s">
        <v>401</v>
      </c>
      <c r="Q182" s="100" t="s">
        <v>407</v>
      </c>
      <c r="R182" s="9" t="str">
        <f t="shared" si="5"/>
        <v>器具及び備品_９　娯楽又はスポーツ器具及び興行又は演劇用具_どんちよう及び幕</v>
      </c>
      <c r="S182" s="100">
        <v>5</v>
      </c>
      <c r="AC182" s="9">
        <v>6</v>
      </c>
      <c r="AD182" s="1">
        <v>27</v>
      </c>
    </row>
    <row r="183" spans="3:30">
      <c r="C183" s="100"/>
      <c r="D183" s="100"/>
      <c r="E183" s="100"/>
      <c r="F183" s="100"/>
      <c r="G183" s="100"/>
      <c r="H183" s="100"/>
      <c r="I183" s="9" t="s">
        <v>283</v>
      </c>
      <c r="J183" s="9" t="s">
        <v>415</v>
      </c>
      <c r="K183" s="9" t="str">
        <f t="shared" si="4"/>
        <v>器具及び備品_１１　前掲のもの以外のもの</v>
      </c>
      <c r="L183" s="100" t="s">
        <v>418</v>
      </c>
      <c r="M183" s="100" t="s">
        <v>216</v>
      </c>
      <c r="N183" s="100" t="s">
        <v>227</v>
      </c>
      <c r="O183" s="100" t="s">
        <v>283</v>
      </c>
      <c r="P183" s="100" t="s">
        <v>401</v>
      </c>
      <c r="Q183" s="100" t="s">
        <v>408</v>
      </c>
      <c r="R183" s="9" t="str">
        <f t="shared" si="5"/>
        <v>器具及び備品_９　娯楽又はスポーツ器具及び興行又は演劇用具_衣しよう、かつら、小道具及び大道具</v>
      </c>
      <c r="S183" s="100">
        <v>2</v>
      </c>
      <c r="AC183" s="9">
        <v>6</v>
      </c>
      <c r="AD183" s="1">
        <v>28</v>
      </c>
    </row>
    <row r="184" spans="3:30">
      <c r="C184" s="100"/>
      <c r="D184" s="100"/>
      <c r="E184" s="100"/>
      <c r="F184" s="100"/>
      <c r="G184" s="100"/>
      <c r="H184" s="100"/>
      <c r="I184" s="9" t="s">
        <v>283</v>
      </c>
      <c r="J184" s="9" t="s">
        <v>415</v>
      </c>
      <c r="K184" s="9" t="str">
        <f t="shared" si="4"/>
        <v>器具及び備品_１１　前掲のもの以外のもの</v>
      </c>
      <c r="L184" s="100" t="s">
        <v>419</v>
      </c>
      <c r="M184" s="100" t="s">
        <v>216</v>
      </c>
      <c r="N184" s="100" t="s">
        <v>227</v>
      </c>
      <c r="O184" s="100" t="s">
        <v>283</v>
      </c>
      <c r="P184" s="100" t="s">
        <v>401</v>
      </c>
      <c r="Q184" s="100" t="s">
        <v>353</v>
      </c>
      <c r="R184" s="9" t="str">
        <f t="shared" si="5"/>
        <v>器具及び備品_９　娯楽又はスポーツ器具及び興行又は演劇用具_その他のもの　主として金属製のもの</v>
      </c>
      <c r="S184" s="100">
        <v>10</v>
      </c>
      <c r="AC184" s="9">
        <v>6</v>
      </c>
      <c r="AD184" s="1">
        <v>29</v>
      </c>
    </row>
    <row r="185" spans="3:30">
      <c r="C185" s="100"/>
      <c r="D185" s="100"/>
      <c r="E185" s="100"/>
      <c r="F185" s="100"/>
      <c r="G185" s="100"/>
      <c r="H185" s="100"/>
      <c r="I185" s="9" t="s">
        <v>283</v>
      </c>
      <c r="J185" s="9" t="s">
        <v>415</v>
      </c>
      <c r="K185" s="9" t="str">
        <f t="shared" si="4"/>
        <v>器具及び備品_１１　前掲のもの以外のもの</v>
      </c>
      <c r="L185" s="100" t="s">
        <v>420</v>
      </c>
      <c r="M185" s="100" t="s">
        <v>216</v>
      </c>
      <c r="N185" s="100" t="s">
        <v>227</v>
      </c>
      <c r="O185" s="100" t="s">
        <v>283</v>
      </c>
      <c r="P185" s="100" t="s">
        <v>401</v>
      </c>
      <c r="Q185" s="100" t="s">
        <v>354</v>
      </c>
      <c r="R185" s="9" t="str">
        <f t="shared" si="5"/>
        <v>器具及び備品_９　娯楽又はスポーツ器具及び興行又は演劇用具_その他のもの　その他のもの</v>
      </c>
      <c r="S185" s="100">
        <v>5</v>
      </c>
      <c r="AC185" s="1">
        <v>7</v>
      </c>
      <c r="AD185" s="122" t="s">
        <v>161</v>
      </c>
    </row>
    <row r="186" spans="3:30">
      <c r="C186" s="100"/>
      <c r="D186" s="100"/>
      <c r="E186" s="100"/>
      <c r="F186" s="100"/>
      <c r="G186" s="100"/>
      <c r="H186" s="100"/>
      <c r="I186" s="9" t="s">
        <v>283</v>
      </c>
      <c r="J186" s="9" t="s">
        <v>415</v>
      </c>
      <c r="K186" s="9" t="str">
        <f t="shared" si="4"/>
        <v>器具及び備品_１１　前掲のもの以外のもの</v>
      </c>
      <c r="L186" s="100" t="s">
        <v>421</v>
      </c>
      <c r="M186" s="100" t="s">
        <v>216</v>
      </c>
      <c r="N186" s="100" t="s">
        <v>227</v>
      </c>
      <c r="O186" s="100" t="s">
        <v>283</v>
      </c>
      <c r="P186" s="100" t="s">
        <v>409</v>
      </c>
      <c r="Q186" s="100" t="s">
        <v>410</v>
      </c>
      <c r="R186" s="9" t="str">
        <f t="shared" si="5"/>
        <v>器具及び備品_１０　生物_植物　貸付業用のもの</v>
      </c>
      <c r="S186" s="100">
        <v>2</v>
      </c>
      <c r="AC186" s="9">
        <v>7</v>
      </c>
      <c r="AD186" s="1">
        <v>1</v>
      </c>
    </row>
    <row r="187" spans="3:30">
      <c r="C187" s="100"/>
      <c r="D187" s="100"/>
      <c r="E187" s="100"/>
      <c r="F187" s="100"/>
      <c r="G187" s="100"/>
      <c r="H187" s="100"/>
      <c r="I187" s="9" t="s">
        <v>283</v>
      </c>
      <c r="J187" s="9" t="s">
        <v>415</v>
      </c>
      <c r="K187" s="9" t="str">
        <f t="shared" si="4"/>
        <v>器具及び備品_１１　前掲のもの以外のもの</v>
      </c>
      <c r="L187" s="100" t="s">
        <v>422</v>
      </c>
      <c r="M187" s="100" t="s">
        <v>216</v>
      </c>
      <c r="N187" s="100" t="s">
        <v>227</v>
      </c>
      <c r="O187" s="100" t="s">
        <v>283</v>
      </c>
      <c r="P187" s="100" t="s">
        <v>409</v>
      </c>
      <c r="Q187" s="100" t="s">
        <v>411</v>
      </c>
      <c r="R187" s="9" t="str">
        <f t="shared" si="5"/>
        <v>器具及び備品_１０　生物_植物　その他のもの</v>
      </c>
      <c r="S187" s="100">
        <v>15</v>
      </c>
      <c r="AC187" s="9">
        <v>7</v>
      </c>
      <c r="AD187" s="1">
        <v>2</v>
      </c>
    </row>
    <row r="188" spans="3:30">
      <c r="C188" s="100"/>
      <c r="D188" s="100"/>
      <c r="E188" s="100"/>
      <c r="F188" s="100"/>
      <c r="G188" s="100"/>
      <c r="H188" s="100"/>
      <c r="I188" s="9" t="s">
        <v>283</v>
      </c>
      <c r="J188" s="9" t="s">
        <v>415</v>
      </c>
      <c r="K188" s="9" t="str">
        <f t="shared" si="4"/>
        <v>器具及び備品_１１　前掲のもの以外のもの</v>
      </c>
      <c r="L188" s="100" t="s">
        <v>423</v>
      </c>
      <c r="M188" s="100" t="s">
        <v>216</v>
      </c>
      <c r="N188" s="100" t="s">
        <v>227</v>
      </c>
      <c r="O188" s="100" t="s">
        <v>283</v>
      </c>
      <c r="P188" s="100" t="s">
        <v>409</v>
      </c>
      <c r="Q188" s="100" t="s">
        <v>412</v>
      </c>
      <c r="R188" s="9" t="str">
        <f t="shared" si="5"/>
        <v>器具及び備品_１０　生物_動物　魚類</v>
      </c>
      <c r="S188" s="100">
        <v>2</v>
      </c>
      <c r="AC188" s="9">
        <v>7</v>
      </c>
      <c r="AD188" s="1">
        <v>3</v>
      </c>
    </row>
    <row r="189" spans="3:30">
      <c r="C189" s="100"/>
      <c r="D189" s="100"/>
      <c r="E189" s="100"/>
      <c r="F189" s="100"/>
      <c r="G189" s="100"/>
      <c r="H189" s="100"/>
      <c r="I189" s="9" t="s">
        <v>283</v>
      </c>
      <c r="J189" s="9" t="s">
        <v>415</v>
      </c>
      <c r="K189" s="9" t="str">
        <f t="shared" si="4"/>
        <v>器具及び備品_１１　前掲のもの以外のもの</v>
      </c>
      <c r="L189" s="100" t="s">
        <v>424</v>
      </c>
      <c r="M189" s="100" t="s">
        <v>216</v>
      </c>
      <c r="N189" s="100" t="s">
        <v>227</v>
      </c>
      <c r="O189" s="100" t="s">
        <v>283</v>
      </c>
      <c r="P189" s="100" t="s">
        <v>409</v>
      </c>
      <c r="Q189" s="100" t="s">
        <v>413</v>
      </c>
      <c r="R189" s="9" t="str">
        <f t="shared" si="5"/>
        <v>器具及び備品_１０　生物_動物　鳥類</v>
      </c>
      <c r="S189" s="100">
        <v>4</v>
      </c>
      <c r="AC189" s="9">
        <v>7</v>
      </c>
      <c r="AD189" s="1">
        <v>4</v>
      </c>
    </row>
    <row r="190" spans="3:30">
      <c r="C190" s="100"/>
      <c r="D190" s="100"/>
      <c r="E190" s="100"/>
      <c r="F190" s="100"/>
      <c r="G190" s="100"/>
      <c r="H190" s="100"/>
      <c r="I190" s="9" t="s">
        <v>283</v>
      </c>
      <c r="J190" s="9" t="s">
        <v>415</v>
      </c>
      <c r="K190" s="9" t="str">
        <f t="shared" si="4"/>
        <v>器具及び備品_１１　前掲のもの以外のもの</v>
      </c>
      <c r="L190" s="100" t="s">
        <v>353</v>
      </c>
      <c r="M190" s="100" t="s">
        <v>216</v>
      </c>
      <c r="N190" s="100" t="s">
        <v>227</v>
      </c>
      <c r="O190" s="100" t="s">
        <v>283</v>
      </c>
      <c r="P190" s="100" t="s">
        <v>409</v>
      </c>
      <c r="Q190" s="100" t="s">
        <v>414</v>
      </c>
      <c r="R190" s="9" t="str">
        <f t="shared" si="5"/>
        <v>器具及び備品_１０　生物_動物　その他のもの</v>
      </c>
      <c r="S190" s="100">
        <v>8</v>
      </c>
      <c r="AC190" s="9">
        <v>7</v>
      </c>
      <c r="AD190" s="1">
        <v>5</v>
      </c>
    </row>
    <row r="191" spans="3:30">
      <c r="C191" s="100"/>
      <c r="D191" s="100"/>
      <c r="E191" s="100"/>
      <c r="F191" s="100"/>
      <c r="G191" s="100"/>
      <c r="H191" s="100"/>
      <c r="I191" s="9" t="s">
        <v>283</v>
      </c>
      <c r="J191" s="9" t="s">
        <v>415</v>
      </c>
      <c r="K191" s="9" t="str">
        <f t="shared" si="4"/>
        <v>器具及び備品_１１　前掲のもの以外のもの</v>
      </c>
      <c r="L191" s="100" t="s">
        <v>354</v>
      </c>
      <c r="M191" s="100" t="s">
        <v>216</v>
      </c>
      <c r="N191" s="100" t="s">
        <v>227</v>
      </c>
      <c r="O191" s="100" t="s">
        <v>283</v>
      </c>
      <c r="P191" s="100" t="s">
        <v>415</v>
      </c>
      <c r="Q191" s="100" t="s">
        <v>416</v>
      </c>
      <c r="R191" s="9" t="str">
        <f t="shared" si="5"/>
        <v>器具及び備品_１１　前掲のもの以外のもの_映画フィルム（スライドを含む。）、磁気テープ及びレコード</v>
      </c>
      <c r="S191" s="100">
        <v>2</v>
      </c>
      <c r="AC191" s="9">
        <v>7</v>
      </c>
      <c r="AD191" s="1">
        <v>6</v>
      </c>
    </row>
    <row r="192" spans="3:30">
      <c r="C192" s="100"/>
      <c r="D192" s="100"/>
      <c r="E192" s="100"/>
      <c r="F192" s="100"/>
      <c r="G192" s="100"/>
      <c r="H192" s="100"/>
      <c r="I192" s="9" t="s">
        <v>283</v>
      </c>
      <c r="J192" s="100" t="s">
        <v>425</v>
      </c>
      <c r="K192" s="9" t="str">
        <f t="shared" si="4"/>
        <v>器具及び備品_１２　前掲する資産のうち、当該資産について定められている前掲の耐用年数によるもの以外のもの及び前掲の区分によらないもの</v>
      </c>
      <c r="L192" s="100" t="s">
        <v>304</v>
      </c>
      <c r="M192" s="100" t="s">
        <v>216</v>
      </c>
      <c r="N192" s="100" t="s">
        <v>227</v>
      </c>
      <c r="O192" s="100" t="s">
        <v>283</v>
      </c>
      <c r="P192" s="100" t="s">
        <v>415</v>
      </c>
      <c r="Q192" s="100" t="s">
        <v>417</v>
      </c>
      <c r="R192" s="9" t="str">
        <f t="shared" si="5"/>
        <v>器具及び備品_１１　前掲のもの以外のもの_シート及びロープ</v>
      </c>
      <c r="S192" s="100">
        <v>2</v>
      </c>
      <c r="AC192" s="9">
        <v>7</v>
      </c>
      <c r="AD192" s="1">
        <v>7</v>
      </c>
    </row>
    <row r="193" spans="3:30">
      <c r="C193" s="100"/>
      <c r="D193" s="100"/>
      <c r="E193" s="100"/>
      <c r="F193" s="100"/>
      <c r="G193" s="100"/>
      <c r="H193" s="100"/>
      <c r="I193" s="9" t="s">
        <v>283</v>
      </c>
      <c r="J193" s="9" t="s">
        <v>425</v>
      </c>
      <c r="K193" s="9" t="str">
        <f t="shared" si="4"/>
        <v>器具及び備品_１２　前掲する資産のうち、当該資産について定められている前掲の耐用年数によるもの以外のもの及び前掲の区分によらないもの</v>
      </c>
      <c r="L193" s="100" t="s">
        <v>296</v>
      </c>
      <c r="M193" s="100" t="s">
        <v>216</v>
      </c>
      <c r="N193" s="100" t="s">
        <v>227</v>
      </c>
      <c r="O193" s="100" t="s">
        <v>283</v>
      </c>
      <c r="P193" s="100" t="s">
        <v>415</v>
      </c>
      <c r="Q193" s="100" t="s">
        <v>418</v>
      </c>
      <c r="R193" s="9" t="str">
        <f t="shared" si="5"/>
        <v>器具及び備品_１１　前掲のもの以外のもの_きのこ栽培用ほだ木</v>
      </c>
      <c r="S193" s="100">
        <v>3</v>
      </c>
      <c r="AC193" s="9">
        <v>7</v>
      </c>
      <c r="AD193" s="1">
        <v>8</v>
      </c>
    </row>
    <row r="194" spans="3:30">
      <c r="C194" s="100"/>
      <c r="D194" s="100"/>
      <c r="E194" s="100"/>
      <c r="F194" s="100"/>
      <c r="G194" s="100"/>
      <c r="H194" s="100"/>
      <c r="I194" s="100" t="s">
        <v>426</v>
      </c>
      <c r="J194" s="100"/>
      <c r="K194" s="9" t="str">
        <f t="shared" si="4"/>
        <v>別表第六　器具及び備品／開発研究用減価償却資産_</v>
      </c>
      <c r="L194" s="100" t="s">
        <v>427</v>
      </c>
      <c r="M194" s="100" t="s">
        <v>216</v>
      </c>
      <c r="N194" s="100" t="s">
        <v>227</v>
      </c>
      <c r="O194" s="100" t="s">
        <v>283</v>
      </c>
      <c r="P194" s="100" t="s">
        <v>415</v>
      </c>
      <c r="Q194" s="100" t="s">
        <v>419</v>
      </c>
      <c r="R194" s="9" t="str">
        <f t="shared" si="5"/>
        <v>器具及び備品_１１　前掲のもの以外のもの_漁具</v>
      </c>
      <c r="S194" s="100">
        <v>3</v>
      </c>
      <c r="AC194" s="9">
        <v>7</v>
      </c>
      <c r="AD194" s="1">
        <v>9</v>
      </c>
    </row>
    <row r="195" spans="3:30">
      <c r="C195" s="100"/>
      <c r="D195" s="100"/>
      <c r="E195" s="100"/>
      <c r="F195" s="100"/>
      <c r="G195" s="100"/>
      <c r="H195" s="100"/>
      <c r="I195" s="100" t="s">
        <v>428</v>
      </c>
      <c r="J195" s="100"/>
      <c r="K195" s="9" t="str">
        <f t="shared" si="4"/>
        <v>3 繊維工業用設備_</v>
      </c>
      <c r="L195" s="100" t="s">
        <v>429</v>
      </c>
      <c r="M195" s="100" t="s">
        <v>216</v>
      </c>
      <c r="N195" s="100" t="s">
        <v>227</v>
      </c>
      <c r="O195" s="100" t="s">
        <v>283</v>
      </c>
      <c r="P195" s="100" t="s">
        <v>415</v>
      </c>
      <c r="Q195" s="100" t="s">
        <v>420</v>
      </c>
      <c r="R195" s="9" t="str">
        <f t="shared" si="5"/>
        <v>器具及び備品_１１　前掲のもの以外のもの_葬儀用具</v>
      </c>
      <c r="S195" s="100">
        <v>3</v>
      </c>
      <c r="AC195" s="9">
        <v>7</v>
      </c>
      <c r="AD195" s="1">
        <v>10</v>
      </c>
    </row>
    <row r="196" spans="3:30">
      <c r="C196" s="100"/>
      <c r="D196" s="100"/>
      <c r="E196" s="100"/>
      <c r="F196" s="100"/>
      <c r="G196" s="100"/>
      <c r="H196" s="100"/>
      <c r="I196" s="9" t="s">
        <v>428</v>
      </c>
      <c r="J196" s="100"/>
      <c r="K196" s="9" t="str">
        <f t="shared" ref="K196:K259" si="6">I196&amp;"_"&amp;J196</f>
        <v>3 繊維工業用設備_</v>
      </c>
      <c r="L196" s="100" t="s">
        <v>430</v>
      </c>
      <c r="M196" s="100" t="s">
        <v>216</v>
      </c>
      <c r="N196" s="100" t="s">
        <v>227</v>
      </c>
      <c r="O196" s="100" t="s">
        <v>283</v>
      </c>
      <c r="P196" s="100" t="s">
        <v>415</v>
      </c>
      <c r="Q196" s="100" t="s">
        <v>421</v>
      </c>
      <c r="R196" s="9" t="str">
        <f t="shared" ref="R196:R259" si="7">O196&amp;"_"&amp;P196&amp;"_"&amp;Q196</f>
        <v>器具及び備品_１１　前掲のもの以外のもの_楽器</v>
      </c>
      <c r="S196" s="100">
        <v>5</v>
      </c>
      <c r="AC196" s="9">
        <v>7</v>
      </c>
      <c r="AD196" s="1">
        <v>11</v>
      </c>
    </row>
    <row r="197" spans="3:30">
      <c r="C197" s="100"/>
      <c r="D197" s="100"/>
      <c r="E197" s="100"/>
      <c r="F197" s="100"/>
      <c r="G197" s="100"/>
      <c r="H197" s="100"/>
      <c r="I197" s="9" t="s">
        <v>428</v>
      </c>
      <c r="J197" s="100"/>
      <c r="K197" s="9" t="str">
        <f t="shared" si="6"/>
        <v>3 繊維工業用設備_</v>
      </c>
      <c r="L197" s="100" t="s">
        <v>431</v>
      </c>
      <c r="M197" s="100" t="s">
        <v>216</v>
      </c>
      <c r="N197" s="100" t="s">
        <v>227</v>
      </c>
      <c r="O197" s="100" t="s">
        <v>283</v>
      </c>
      <c r="P197" s="100" t="s">
        <v>415</v>
      </c>
      <c r="Q197" s="100" t="s">
        <v>422</v>
      </c>
      <c r="R197" s="9" t="str">
        <f t="shared" si="7"/>
        <v>器具及び備品_１１　前掲のもの以外のもの_自動販売機（手動のものを含む。）</v>
      </c>
      <c r="S197" s="100">
        <v>5</v>
      </c>
      <c r="AC197" s="9">
        <v>7</v>
      </c>
      <c r="AD197" s="1">
        <v>12</v>
      </c>
    </row>
    <row r="198" spans="3:30">
      <c r="C198" s="100"/>
      <c r="D198" s="100"/>
      <c r="E198" s="100"/>
      <c r="F198" s="100"/>
      <c r="G198" s="100"/>
      <c r="H198" s="100"/>
      <c r="I198" s="100" t="s">
        <v>432</v>
      </c>
      <c r="J198" s="100"/>
      <c r="K198" s="9" t="str">
        <f t="shared" si="6"/>
        <v>7 印刷業又は印刷関連業用設備_</v>
      </c>
      <c r="L198" s="100" t="s">
        <v>433</v>
      </c>
      <c r="M198" s="100" t="s">
        <v>216</v>
      </c>
      <c r="N198" s="100" t="s">
        <v>227</v>
      </c>
      <c r="O198" s="100" t="s">
        <v>283</v>
      </c>
      <c r="P198" s="100" t="s">
        <v>415</v>
      </c>
      <c r="Q198" s="100" t="s">
        <v>423</v>
      </c>
      <c r="R198" s="9" t="str">
        <f t="shared" si="7"/>
        <v>器具及び備品_１１　前掲のもの以外のもの_無人駐車管理装置</v>
      </c>
      <c r="S198" s="100">
        <v>5</v>
      </c>
      <c r="AC198" s="9">
        <v>7</v>
      </c>
      <c r="AD198" s="1">
        <v>13</v>
      </c>
    </row>
    <row r="199" spans="3:30">
      <c r="C199" s="100"/>
      <c r="D199" s="100"/>
      <c r="E199" s="100"/>
      <c r="F199" s="100"/>
      <c r="G199" s="100"/>
      <c r="H199" s="100"/>
      <c r="I199" s="9" t="s">
        <v>432</v>
      </c>
      <c r="J199" s="100"/>
      <c r="K199" s="9" t="str">
        <f t="shared" si="6"/>
        <v>7 印刷業又は印刷関連業用設備_</v>
      </c>
      <c r="L199" s="100" t="s">
        <v>434</v>
      </c>
      <c r="M199" s="100" t="s">
        <v>216</v>
      </c>
      <c r="N199" s="100" t="s">
        <v>227</v>
      </c>
      <c r="O199" s="100" t="s">
        <v>283</v>
      </c>
      <c r="P199" s="100" t="s">
        <v>415</v>
      </c>
      <c r="Q199" s="100" t="s">
        <v>424</v>
      </c>
      <c r="R199" s="9" t="str">
        <f t="shared" si="7"/>
        <v>器具及び備品_１１　前掲のもの以外のもの_焼却炉</v>
      </c>
      <c r="S199" s="100">
        <v>5</v>
      </c>
      <c r="AC199" s="9">
        <v>7</v>
      </c>
      <c r="AD199" s="1">
        <v>14</v>
      </c>
    </row>
    <row r="200" spans="3:30">
      <c r="C200" s="100"/>
      <c r="D200" s="100"/>
      <c r="E200" s="100"/>
      <c r="F200" s="100"/>
      <c r="G200" s="100"/>
      <c r="H200" s="100"/>
      <c r="I200" s="9" t="s">
        <v>432</v>
      </c>
      <c r="J200" s="100"/>
      <c r="K200" s="9" t="str">
        <f t="shared" si="6"/>
        <v>7 印刷業又は印刷関連業用設備_</v>
      </c>
      <c r="L200" s="100" t="s">
        <v>435</v>
      </c>
      <c r="M200" s="100" t="s">
        <v>216</v>
      </c>
      <c r="N200" s="100" t="s">
        <v>227</v>
      </c>
      <c r="O200" s="100" t="s">
        <v>283</v>
      </c>
      <c r="P200" s="100" t="s">
        <v>415</v>
      </c>
      <c r="Q200" s="100" t="s">
        <v>353</v>
      </c>
      <c r="R200" s="9" t="str">
        <f t="shared" si="7"/>
        <v>器具及び備品_１１　前掲のもの以外のもの_その他のもの　主として金属製のもの</v>
      </c>
      <c r="S200" s="100">
        <v>10</v>
      </c>
      <c r="AC200" s="9">
        <v>7</v>
      </c>
      <c r="AD200" s="1">
        <v>15</v>
      </c>
    </row>
    <row r="201" spans="3:30">
      <c r="C201" s="100"/>
      <c r="D201" s="100"/>
      <c r="E201" s="100"/>
      <c r="F201" s="100"/>
      <c r="G201" s="100"/>
      <c r="H201" s="100"/>
      <c r="I201" s="9" t="s">
        <v>432</v>
      </c>
      <c r="J201" s="100"/>
      <c r="K201" s="9" t="str">
        <f t="shared" si="6"/>
        <v>7 印刷業又は印刷関連業用設備_</v>
      </c>
      <c r="L201" s="100" t="s">
        <v>436</v>
      </c>
      <c r="M201" s="100" t="s">
        <v>216</v>
      </c>
      <c r="N201" s="100" t="s">
        <v>227</v>
      </c>
      <c r="O201" s="100" t="s">
        <v>283</v>
      </c>
      <c r="P201" s="100" t="s">
        <v>415</v>
      </c>
      <c r="Q201" s="100" t="s">
        <v>354</v>
      </c>
      <c r="R201" s="9" t="str">
        <f t="shared" si="7"/>
        <v>器具及び備品_１１　前掲のもの以外のもの_その他のもの　その他のもの</v>
      </c>
      <c r="S201" s="100">
        <v>5</v>
      </c>
      <c r="AC201" s="9">
        <v>7</v>
      </c>
      <c r="AD201" s="1">
        <v>16</v>
      </c>
    </row>
    <row r="202" spans="3:30">
      <c r="C202" s="100"/>
      <c r="D202" s="100"/>
      <c r="E202" s="100"/>
      <c r="F202" s="100"/>
      <c r="G202" s="100"/>
      <c r="H202" s="100"/>
      <c r="I202" s="9" t="s">
        <v>432</v>
      </c>
      <c r="J202" s="100"/>
      <c r="K202" s="9" t="str">
        <f t="shared" si="6"/>
        <v>7 印刷業又は印刷関連業用設備_</v>
      </c>
      <c r="L202" s="100" t="s">
        <v>431</v>
      </c>
      <c r="M202" s="100" t="s">
        <v>216</v>
      </c>
      <c r="N202" s="100" t="s">
        <v>227</v>
      </c>
      <c r="O202" s="100" t="s">
        <v>283</v>
      </c>
      <c r="P202" s="100" t="s">
        <v>425</v>
      </c>
      <c r="Q202" s="100" t="s">
        <v>304</v>
      </c>
      <c r="R202" s="9" t="str">
        <f t="shared" si="7"/>
        <v>器具及び備品_１２　前掲する資産のうち、当該資産について定められている前掲の耐用年数によるもの以外のもの及び前掲の区分によらないもの_主として金属製のもの</v>
      </c>
      <c r="S202" s="100">
        <v>15</v>
      </c>
      <c r="AC202" s="9">
        <v>7</v>
      </c>
      <c r="AD202" s="1">
        <v>17</v>
      </c>
    </row>
    <row r="203" spans="3:30">
      <c r="C203" s="100"/>
      <c r="D203" s="100"/>
      <c r="E203" s="100"/>
      <c r="F203" s="100"/>
      <c r="G203" s="100"/>
      <c r="H203" s="100"/>
      <c r="I203" s="100" t="s">
        <v>437</v>
      </c>
      <c r="J203" s="100"/>
      <c r="K203" s="9" t="str">
        <f t="shared" si="6"/>
        <v>8 化学工業用設備_</v>
      </c>
      <c r="L203" s="100" t="s">
        <v>438</v>
      </c>
      <c r="M203" s="100" t="s">
        <v>216</v>
      </c>
      <c r="N203" s="100" t="s">
        <v>227</v>
      </c>
      <c r="O203" s="100" t="s">
        <v>283</v>
      </c>
      <c r="P203" s="100" t="s">
        <v>425</v>
      </c>
      <c r="Q203" s="100" t="s">
        <v>296</v>
      </c>
      <c r="R203" s="9" t="str">
        <f t="shared" si="7"/>
        <v>器具及び備品_１２　前掲する資産のうち、当該資産について定められている前掲の耐用年数によるもの以外のもの及び前掲の区分によらないもの_その他のもの</v>
      </c>
      <c r="S203" s="100">
        <v>8</v>
      </c>
      <c r="AC203" s="9">
        <v>7</v>
      </c>
      <c r="AD203" s="1">
        <v>18</v>
      </c>
    </row>
    <row r="204" spans="3:30">
      <c r="C204" s="100"/>
      <c r="D204" s="100"/>
      <c r="E204" s="100"/>
      <c r="F204" s="100"/>
      <c r="G204" s="100"/>
      <c r="H204" s="100"/>
      <c r="I204" s="9" t="s">
        <v>437</v>
      </c>
      <c r="J204" s="100"/>
      <c r="K204" s="9" t="str">
        <f t="shared" si="6"/>
        <v>8 化学工業用設備_</v>
      </c>
      <c r="L204" s="100" t="s">
        <v>439</v>
      </c>
      <c r="M204" s="100" t="s">
        <v>216</v>
      </c>
      <c r="N204" s="100" t="s">
        <v>227</v>
      </c>
      <c r="O204" s="100" t="s">
        <v>426</v>
      </c>
      <c r="P204" s="100"/>
      <c r="Q204" s="100" t="s">
        <v>427</v>
      </c>
      <c r="R204" s="9" t="str">
        <f t="shared" si="7"/>
        <v>別表第六　器具及び備品／開発研究用減価償却資産__試験又は測定機器、計算機器、撮影機及び顕微鏡</v>
      </c>
      <c r="S204" s="100">
        <v>4</v>
      </c>
      <c r="AC204" s="9">
        <v>7</v>
      </c>
      <c r="AD204" s="1">
        <v>19</v>
      </c>
    </row>
    <row r="205" spans="3:30">
      <c r="C205" s="100"/>
      <c r="D205" s="100"/>
      <c r="E205" s="100"/>
      <c r="F205" s="100"/>
      <c r="G205" s="100"/>
      <c r="H205" s="100"/>
      <c r="I205" s="9" t="s">
        <v>437</v>
      </c>
      <c r="J205" s="100"/>
      <c r="K205" s="9" t="str">
        <f t="shared" si="6"/>
        <v>8 化学工業用設備_</v>
      </c>
      <c r="L205" s="100" t="s">
        <v>440</v>
      </c>
      <c r="M205" s="100" t="s">
        <v>216</v>
      </c>
      <c r="N205" s="100" t="s">
        <v>227</v>
      </c>
      <c r="O205" s="100" t="s">
        <v>441</v>
      </c>
      <c r="P205" s="100"/>
      <c r="Q205" s="100"/>
      <c r="R205" s="9" t="str">
        <f t="shared" si="7"/>
        <v>1 食料品製造業用設備__</v>
      </c>
      <c r="S205" s="100">
        <v>10</v>
      </c>
      <c r="AC205" s="9">
        <v>7</v>
      </c>
      <c r="AD205" s="1">
        <v>20</v>
      </c>
    </row>
    <row r="206" spans="3:30">
      <c r="C206" s="100"/>
      <c r="D206" s="100"/>
      <c r="E206" s="100"/>
      <c r="F206" s="100"/>
      <c r="G206" s="100"/>
      <c r="H206" s="100"/>
      <c r="I206" s="9" t="s">
        <v>437</v>
      </c>
      <c r="J206" s="100"/>
      <c r="K206" s="9" t="str">
        <f t="shared" si="6"/>
        <v>8 化学工業用設備_</v>
      </c>
      <c r="L206" s="100" t="s">
        <v>442</v>
      </c>
      <c r="M206" s="100" t="s">
        <v>216</v>
      </c>
      <c r="N206" s="100" t="s">
        <v>227</v>
      </c>
      <c r="O206" s="100" t="s">
        <v>443</v>
      </c>
      <c r="P206" s="100"/>
      <c r="Q206" s="100"/>
      <c r="R206" s="9" t="str">
        <f t="shared" si="7"/>
        <v>2 飲料、たばこ又は飼料製造業用設備__</v>
      </c>
      <c r="S206" s="100">
        <v>10</v>
      </c>
      <c r="AC206" s="9">
        <v>7</v>
      </c>
      <c r="AD206" s="1">
        <v>21</v>
      </c>
    </row>
    <row r="207" spans="3:30">
      <c r="C207" s="100"/>
      <c r="D207" s="100"/>
      <c r="E207" s="100"/>
      <c r="F207" s="100"/>
      <c r="G207" s="100"/>
      <c r="H207" s="100"/>
      <c r="I207" s="9" t="s">
        <v>437</v>
      </c>
      <c r="J207" s="100"/>
      <c r="K207" s="9" t="str">
        <f t="shared" si="6"/>
        <v>8 化学工業用設備_</v>
      </c>
      <c r="L207" s="100" t="s">
        <v>444</v>
      </c>
      <c r="M207" s="100" t="s">
        <v>216</v>
      </c>
      <c r="N207" s="100" t="s">
        <v>227</v>
      </c>
      <c r="O207" s="100" t="s">
        <v>428</v>
      </c>
      <c r="P207" s="100"/>
      <c r="Q207" s="100" t="s">
        <v>429</v>
      </c>
      <c r="R207" s="9" t="str">
        <f t="shared" si="7"/>
        <v>3 繊維工業用設備__炭素繊維製造設備　黒鉛化炉</v>
      </c>
      <c r="S207" s="100">
        <v>3</v>
      </c>
      <c r="AC207" s="9">
        <v>7</v>
      </c>
      <c r="AD207" s="1">
        <v>22</v>
      </c>
    </row>
    <row r="208" spans="3:30">
      <c r="C208" s="100"/>
      <c r="D208" s="100"/>
      <c r="E208" s="100"/>
      <c r="F208" s="100"/>
      <c r="G208" s="100"/>
      <c r="H208" s="100"/>
      <c r="I208" s="9" t="s">
        <v>437</v>
      </c>
      <c r="J208" s="100"/>
      <c r="K208" s="9" t="str">
        <f t="shared" si="6"/>
        <v>8 化学工業用設備_</v>
      </c>
      <c r="L208" s="100" t="s">
        <v>445</v>
      </c>
      <c r="M208" s="100" t="s">
        <v>216</v>
      </c>
      <c r="N208" s="100" t="s">
        <v>227</v>
      </c>
      <c r="O208" s="100" t="s">
        <v>428</v>
      </c>
      <c r="P208" s="100"/>
      <c r="Q208" s="100" t="s">
        <v>430</v>
      </c>
      <c r="R208" s="9" t="str">
        <f t="shared" si="7"/>
        <v>3 繊維工業用設備__炭素繊維製造設備　その他の設備</v>
      </c>
      <c r="S208" s="100">
        <v>7</v>
      </c>
      <c r="AC208" s="9">
        <v>7</v>
      </c>
      <c r="AD208" s="1">
        <v>23</v>
      </c>
    </row>
    <row r="209" spans="3:30">
      <c r="C209" s="100"/>
      <c r="D209" s="100"/>
      <c r="E209" s="100"/>
      <c r="F209" s="100"/>
      <c r="G209" s="100"/>
      <c r="H209" s="100"/>
      <c r="I209" s="9" t="s">
        <v>437</v>
      </c>
      <c r="J209" s="100"/>
      <c r="K209" s="9" t="str">
        <f t="shared" si="6"/>
        <v>8 化学工業用設備_</v>
      </c>
      <c r="L209" s="100" t="s">
        <v>431</v>
      </c>
      <c r="M209" s="100" t="s">
        <v>216</v>
      </c>
      <c r="N209" s="100" t="s">
        <v>227</v>
      </c>
      <c r="O209" s="100" t="s">
        <v>428</v>
      </c>
      <c r="P209" s="100"/>
      <c r="Q209" s="100" t="s">
        <v>431</v>
      </c>
      <c r="R209" s="9" t="str">
        <f t="shared" si="7"/>
        <v>3 繊維工業用設備__その他の設備</v>
      </c>
      <c r="S209" s="100">
        <v>7</v>
      </c>
      <c r="AC209" s="9">
        <v>7</v>
      </c>
      <c r="AD209" s="1">
        <v>24</v>
      </c>
    </row>
    <row r="210" spans="3:30">
      <c r="C210" s="100"/>
      <c r="D210" s="100"/>
      <c r="E210" s="100"/>
      <c r="F210" s="100"/>
      <c r="G210" s="100"/>
      <c r="H210" s="100"/>
      <c r="I210" s="100" t="s">
        <v>446</v>
      </c>
      <c r="J210" s="100"/>
      <c r="K210" s="9" t="str">
        <f t="shared" si="6"/>
        <v>14 鉄鋼業用設備_</v>
      </c>
      <c r="L210" s="100" t="s">
        <v>447</v>
      </c>
      <c r="M210" s="100" t="s">
        <v>216</v>
      </c>
      <c r="N210" s="100" t="s">
        <v>227</v>
      </c>
      <c r="O210" s="100" t="s">
        <v>448</v>
      </c>
      <c r="P210" s="100"/>
      <c r="Q210" s="100"/>
      <c r="R210" s="9" t="str">
        <f t="shared" si="7"/>
        <v>4 木材又は木製品（家具を除く。）製造業用設備__</v>
      </c>
      <c r="S210" s="100">
        <v>8</v>
      </c>
      <c r="AC210" s="9">
        <v>7</v>
      </c>
      <c r="AD210" s="1">
        <v>25</v>
      </c>
    </row>
    <row r="211" spans="3:30">
      <c r="C211" s="100"/>
      <c r="D211" s="100"/>
      <c r="E211" s="100"/>
      <c r="F211" s="100"/>
      <c r="G211" s="100"/>
      <c r="H211" s="100"/>
      <c r="I211" s="9" t="s">
        <v>446</v>
      </c>
      <c r="J211" s="100"/>
      <c r="K211" s="9" t="str">
        <f t="shared" si="6"/>
        <v>14 鉄鋼業用設備_</v>
      </c>
      <c r="L211" s="100" t="s">
        <v>449</v>
      </c>
      <c r="M211" s="100" t="s">
        <v>216</v>
      </c>
      <c r="N211" s="100" t="s">
        <v>227</v>
      </c>
      <c r="O211" s="100" t="s">
        <v>450</v>
      </c>
      <c r="P211" s="100"/>
      <c r="Q211" s="100"/>
      <c r="R211" s="9" t="str">
        <f t="shared" si="7"/>
        <v>5 家具又は装備品製造業用設備__</v>
      </c>
      <c r="S211" s="100">
        <v>11</v>
      </c>
      <c r="AC211" s="9">
        <v>7</v>
      </c>
      <c r="AD211" s="1">
        <v>26</v>
      </c>
    </row>
    <row r="212" spans="3:30">
      <c r="C212" s="100"/>
      <c r="D212" s="100"/>
      <c r="E212" s="100"/>
      <c r="F212" s="100"/>
      <c r="G212" s="100"/>
      <c r="H212" s="100"/>
      <c r="I212" s="9" t="s">
        <v>446</v>
      </c>
      <c r="J212" s="100"/>
      <c r="K212" s="9" t="str">
        <f t="shared" si="6"/>
        <v>14 鉄鋼業用設備_</v>
      </c>
      <c r="L212" s="100" t="s">
        <v>431</v>
      </c>
      <c r="M212" s="100" t="s">
        <v>216</v>
      </c>
      <c r="N212" s="100" t="s">
        <v>227</v>
      </c>
      <c r="O212" s="100" t="s">
        <v>451</v>
      </c>
      <c r="P212" s="100"/>
      <c r="Q212" s="100"/>
      <c r="R212" s="9" t="str">
        <f t="shared" si="7"/>
        <v>6 パルプ、紙又は紙加工品製造業用設備__</v>
      </c>
      <c r="S212" s="100">
        <v>12</v>
      </c>
      <c r="AC212" s="9">
        <v>7</v>
      </c>
      <c r="AD212" s="1">
        <v>27</v>
      </c>
    </row>
    <row r="213" spans="3:30">
      <c r="C213" s="100"/>
      <c r="D213" s="100"/>
      <c r="E213" s="100"/>
      <c r="F213" s="100"/>
      <c r="G213" s="100"/>
      <c r="H213" s="100"/>
      <c r="I213" s="100" t="s">
        <v>452</v>
      </c>
      <c r="J213" s="100"/>
      <c r="K213" s="9" t="str">
        <f t="shared" si="6"/>
        <v>15 非鉄金属製造業用設備_</v>
      </c>
      <c r="L213" s="100" t="s">
        <v>453</v>
      </c>
      <c r="M213" s="100" t="s">
        <v>216</v>
      </c>
      <c r="N213" s="100" t="s">
        <v>227</v>
      </c>
      <c r="O213" s="100" t="s">
        <v>432</v>
      </c>
      <c r="P213" s="100"/>
      <c r="Q213" s="100" t="s">
        <v>433</v>
      </c>
      <c r="R213" s="9" t="str">
        <f t="shared" si="7"/>
        <v>7 印刷業又は印刷関連業用設備__デジタル印刷システム設備</v>
      </c>
      <c r="S213" s="100">
        <v>4</v>
      </c>
      <c r="AC213" s="9">
        <v>7</v>
      </c>
      <c r="AD213" s="1">
        <v>28</v>
      </c>
    </row>
    <row r="214" spans="3:30">
      <c r="C214" s="100"/>
      <c r="D214" s="100"/>
      <c r="E214" s="100"/>
      <c r="F214" s="100"/>
      <c r="G214" s="100"/>
      <c r="H214" s="100"/>
      <c r="I214" s="9" t="s">
        <v>452</v>
      </c>
      <c r="J214" s="100"/>
      <c r="K214" s="9" t="str">
        <f t="shared" si="6"/>
        <v>15 非鉄金属製造業用設備_</v>
      </c>
      <c r="L214" s="100" t="s">
        <v>431</v>
      </c>
      <c r="M214" s="100" t="s">
        <v>216</v>
      </c>
      <c r="N214" s="100" t="s">
        <v>227</v>
      </c>
      <c r="O214" s="100" t="s">
        <v>432</v>
      </c>
      <c r="P214" s="100"/>
      <c r="Q214" s="100" t="s">
        <v>434</v>
      </c>
      <c r="R214" s="9" t="str">
        <f t="shared" si="7"/>
        <v>7 印刷業又は印刷関連業用設備__製本業用設備</v>
      </c>
      <c r="S214" s="100">
        <v>7</v>
      </c>
      <c r="AC214" s="9">
        <v>7</v>
      </c>
      <c r="AD214" s="1">
        <v>29</v>
      </c>
    </row>
    <row r="215" spans="3:30">
      <c r="C215" s="100"/>
      <c r="D215" s="100"/>
      <c r="E215" s="100"/>
      <c r="F215" s="100"/>
      <c r="G215" s="100"/>
      <c r="H215" s="100"/>
      <c r="I215" s="100" t="s">
        <v>454</v>
      </c>
      <c r="J215" s="100"/>
      <c r="K215" s="9" t="str">
        <f t="shared" si="6"/>
        <v>16 金属製品製造業用設備_</v>
      </c>
      <c r="L215" s="100" t="s">
        <v>455</v>
      </c>
      <c r="M215" s="100" t="s">
        <v>216</v>
      </c>
      <c r="N215" s="100" t="s">
        <v>227</v>
      </c>
      <c r="O215" s="100" t="s">
        <v>432</v>
      </c>
      <c r="P215" s="100"/>
      <c r="Q215" s="100" t="s">
        <v>435</v>
      </c>
      <c r="R215" s="9" t="str">
        <f t="shared" si="7"/>
        <v>7 印刷業又は印刷関連業用設備__新聞業用設備　モノタイプ、写真又は通信設備</v>
      </c>
      <c r="S215" s="100">
        <v>3</v>
      </c>
      <c r="AC215" s="9">
        <v>7</v>
      </c>
      <c r="AD215" s="1">
        <v>30</v>
      </c>
    </row>
    <row r="216" spans="3:30">
      <c r="C216" s="100"/>
      <c r="D216" s="100"/>
      <c r="E216" s="100"/>
      <c r="F216" s="100"/>
      <c r="G216" s="100"/>
      <c r="H216" s="100"/>
      <c r="I216" s="9" t="s">
        <v>454</v>
      </c>
      <c r="J216" s="100"/>
      <c r="K216" s="9" t="str">
        <f t="shared" si="6"/>
        <v>16 金属製品製造業用設備_</v>
      </c>
      <c r="L216" s="100" t="s">
        <v>431</v>
      </c>
      <c r="M216" s="100" t="s">
        <v>216</v>
      </c>
      <c r="N216" s="100" t="s">
        <v>227</v>
      </c>
      <c r="O216" s="100" t="s">
        <v>432</v>
      </c>
      <c r="P216" s="100"/>
      <c r="Q216" s="100" t="s">
        <v>436</v>
      </c>
      <c r="R216" s="9" t="str">
        <f t="shared" si="7"/>
        <v>7 印刷業又は印刷関連業用設備__新聞業用設備　その他の設備</v>
      </c>
      <c r="S216" s="100">
        <v>10</v>
      </c>
      <c r="AC216" s="1">
        <v>8</v>
      </c>
      <c r="AD216" s="122" t="s">
        <v>161</v>
      </c>
    </row>
    <row r="217" spans="3:30">
      <c r="C217" s="100"/>
      <c r="D217" s="100"/>
      <c r="E217" s="100"/>
      <c r="F217" s="100"/>
      <c r="G217" s="100"/>
      <c r="H217" s="100"/>
      <c r="I217" s="100" t="s">
        <v>456</v>
      </c>
      <c r="J217" s="100"/>
      <c r="K217" s="9" t="str">
        <f t="shared" si="6"/>
        <v>18 生産用機械器具（物の生産の用に供されるものをいう。）製造業用設備（次号及び第二一号に掲げるものを除く。）_</v>
      </c>
      <c r="L217" s="100" t="s">
        <v>457</v>
      </c>
      <c r="M217" s="100" t="s">
        <v>216</v>
      </c>
      <c r="N217" s="100" t="s">
        <v>227</v>
      </c>
      <c r="O217" s="100" t="s">
        <v>432</v>
      </c>
      <c r="P217" s="100"/>
      <c r="Q217" s="100" t="s">
        <v>431</v>
      </c>
      <c r="R217" s="9" t="str">
        <f t="shared" si="7"/>
        <v>7 印刷業又は印刷関連業用設備__その他の設備</v>
      </c>
      <c r="S217" s="100">
        <v>10</v>
      </c>
      <c r="AC217" s="9">
        <v>8</v>
      </c>
      <c r="AD217" s="1">
        <v>1</v>
      </c>
    </row>
    <row r="218" spans="3:30">
      <c r="C218" s="100"/>
      <c r="D218" s="100"/>
      <c r="E218" s="100"/>
      <c r="F218" s="100"/>
      <c r="G218" s="100"/>
      <c r="H218" s="100"/>
      <c r="I218" s="9" t="s">
        <v>456</v>
      </c>
      <c r="J218" s="100"/>
      <c r="K218" s="9" t="str">
        <f t="shared" si="6"/>
        <v>18 生産用機械器具（物の生産の用に供されるものをいう。）製造業用設備（次号及び第二一号に掲げるものを除く。）_</v>
      </c>
      <c r="L218" s="100" t="s">
        <v>431</v>
      </c>
      <c r="M218" s="100" t="s">
        <v>216</v>
      </c>
      <c r="N218" s="100" t="s">
        <v>227</v>
      </c>
      <c r="O218" s="100" t="s">
        <v>437</v>
      </c>
      <c r="P218" s="100"/>
      <c r="Q218" s="100" t="s">
        <v>438</v>
      </c>
      <c r="R218" s="9" t="str">
        <f t="shared" si="7"/>
        <v>8 化学工業用設備__臭素、よう素又は塩素、臭素若しくはよう素化合物製造設備</v>
      </c>
      <c r="S218" s="100">
        <v>5</v>
      </c>
      <c r="AC218" s="9">
        <v>8</v>
      </c>
      <c r="AD218" s="1">
        <v>2</v>
      </c>
    </row>
    <row r="219" spans="3:30">
      <c r="C219" s="100"/>
      <c r="D219" s="100"/>
      <c r="E219" s="100"/>
      <c r="F219" s="100"/>
      <c r="G219" s="100"/>
      <c r="H219" s="100"/>
      <c r="I219" s="100" t="s">
        <v>458</v>
      </c>
      <c r="J219" s="100"/>
      <c r="K219" s="9" t="str">
        <f t="shared" si="6"/>
        <v>20 電子部品、デバイス又は電子回路製造業用設備_</v>
      </c>
      <c r="L219" s="100" t="s">
        <v>459</v>
      </c>
      <c r="M219" s="100" t="s">
        <v>216</v>
      </c>
      <c r="N219" s="100" t="s">
        <v>227</v>
      </c>
      <c r="O219" s="100" t="s">
        <v>437</v>
      </c>
      <c r="P219" s="100"/>
      <c r="Q219" s="100" t="s">
        <v>439</v>
      </c>
      <c r="R219" s="9" t="str">
        <f t="shared" si="7"/>
        <v>8 化学工業用設備__塩化りん製造設備</v>
      </c>
      <c r="S219" s="100">
        <v>4</v>
      </c>
      <c r="AC219" s="9">
        <v>8</v>
      </c>
      <c r="AD219" s="1">
        <v>3</v>
      </c>
    </row>
    <row r="220" spans="3:30">
      <c r="C220" s="100"/>
      <c r="D220" s="100"/>
      <c r="E220" s="100"/>
      <c r="F220" s="100"/>
      <c r="G220" s="100"/>
      <c r="H220" s="100"/>
      <c r="I220" s="9" t="s">
        <v>458</v>
      </c>
      <c r="J220" s="100"/>
      <c r="K220" s="9" t="str">
        <f t="shared" si="6"/>
        <v>20 電子部品、デバイス又は電子回路製造業用設備_</v>
      </c>
      <c r="L220" s="100" t="s">
        <v>460</v>
      </c>
      <c r="M220" s="100" t="s">
        <v>216</v>
      </c>
      <c r="N220" s="100" t="s">
        <v>227</v>
      </c>
      <c r="O220" s="100" t="s">
        <v>437</v>
      </c>
      <c r="P220" s="100"/>
      <c r="Q220" s="100" t="s">
        <v>440</v>
      </c>
      <c r="R220" s="9" t="str">
        <f t="shared" si="7"/>
        <v>8 化学工業用設備__活性炭製造設備</v>
      </c>
      <c r="S220" s="100">
        <v>5</v>
      </c>
      <c r="AC220" s="9">
        <v>8</v>
      </c>
      <c r="AD220" s="1">
        <v>4</v>
      </c>
    </row>
    <row r="221" spans="3:30">
      <c r="C221" s="100"/>
      <c r="D221" s="100"/>
      <c r="E221" s="100"/>
      <c r="F221" s="100"/>
      <c r="G221" s="100"/>
      <c r="H221" s="100"/>
      <c r="I221" s="9" t="s">
        <v>458</v>
      </c>
      <c r="J221" s="100"/>
      <c r="K221" s="9" t="str">
        <f t="shared" si="6"/>
        <v>20 電子部品、デバイス又は電子回路製造業用設備_</v>
      </c>
      <c r="L221" s="100" t="s">
        <v>461</v>
      </c>
      <c r="M221" s="100" t="s">
        <v>216</v>
      </c>
      <c r="N221" s="100" t="s">
        <v>227</v>
      </c>
      <c r="O221" s="100" t="s">
        <v>437</v>
      </c>
      <c r="P221" s="100"/>
      <c r="Q221" s="100" t="s">
        <v>442</v>
      </c>
      <c r="R221" s="9" t="str">
        <f t="shared" si="7"/>
        <v>8 化学工業用設備__ゼラチン又はにかわ製造設備</v>
      </c>
      <c r="S221" s="100">
        <v>5</v>
      </c>
      <c r="AC221" s="9">
        <v>8</v>
      </c>
      <c r="AD221" s="1">
        <v>5</v>
      </c>
    </row>
    <row r="222" spans="3:30">
      <c r="C222" s="100"/>
      <c r="D222" s="100"/>
      <c r="E222" s="100"/>
      <c r="F222" s="100"/>
      <c r="G222" s="100"/>
      <c r="H222" s="100"/>
      <c r="I222" s="9" t="s">
        <v>458</v>
      </c>
      <c r="J222" s="100"/>
      <c r="K222" s="9" t="str">
        <f t="shared" si="6"/>
        <v>20 電子部品、デバイス又は電子回路製造業用設備_</v>
      </c>
      <c r="L222" s="100" t="s">
        <v>431</v>
      </c>
      <c r="M222" s="100" t="s">
        <v>216</v>
      </c>
      <c r="N222" s="100" t="s">
        <v>227</v>
      </c>
      <c r="O222" s="100" t="s">
        <v>437</v>
      </c>
      <c r="P222" s="100"/>
      <c r="Q222" s="100" t="s">
        <v>444</v>
      </c>
      <c r="R222" s="9" t="str">
        <f t="shared" si="7"/>
        <v>8 化学工業用設備__半導体用フォトレジスト製造設備</v>
      </c>
      <c r="S222" s="100">
        <v>5</v>
      </c>
      <c r="AC222" s="9">
        <v>8</v>
      </c>
      <c r="AD222" s="1">
        <v>6</v>
      </c>
    </row>
    <row r="223" spans="3:30">
      <c r="C223" s="100"/>
      <c r="D223" s="100"/>
      <c r="E223" s="100"/>
      <c r="F223" s="100"/>
      <c r="G223" s="100"/>
      <c r="H223" s="100"/>
      <c r="I223" s="100" t="s">
        <v>462</v>
      </c>
      <c r="J223" s="100"/>
      <c r="K223" s="9" t="str">
        <f t="shared" si="6"/>
        <v>29 鉱業、採石業又は砂利採取業用設備_</v>
      </c>
      <c r="L223" s="100" t="s">
        <v>463</v>
      </c>
      <c r="M223" s="100" t="s">
        <v>216</v>
      </c>
      <c r="N223" s="100" t="s">
        <v>227</v>
      </c>
      <c r="O223" s="100" t="s">
        <v>437</v>
      </c>
      <c r="P223" s="100"/>
      <c r="Q223" s="100" t="s">
        <v>445</v>
      </c>
      <c r="R223" s="9" t="str">
        <f t="shared" si="7"/>
        <v>8 化学工業用設備__フラットパネル用カラーフィルター、偏光板又は偏光板用フィルム製造設備</v>
      </c>
      <c r="S223" s="100">
        <v>5</v>
      </c>
      <c r="AC223" s="9">
        <v>8</v>
      </c>
      <c r="AD223" s="1">
        <v>7</v>
      </c>
    </row>
    <row r="224" spans="3:30">
      <c r="C224" s="100"/>
      <c r="D224" s="100"/>
      <c r="E224" s="100"/>
      <c r="F224" s="100"/>
      <c r="G224" s="100"/>
      <c r="H224" s="100"/>
      <c r="I224" s="9" t="s">
        <v>462</v>
      </c>
      <c r="J224" s="100"/>
      <c r="K224" s="9" t="str">
        <f t="shared" si="6"/>
        <v>29 鉱業、採石業又は砂利採取業用設備_</v>
      </c>
      <c r="L224" s="100" t="s">
        <v>464</v>
      </c>
      <c r="M224" s="100" t="s">
        <v>216</v>
      </c>
      <c r="N224" s="100" t="s">
        <v>227</v>
      </c>
      <c r="O224" s="100" t="s">
        <v>437</v>
      </c>
      <c r="P224" s="100"/>
      <c r="Q224" s="100" t="s">
        <v>431</v>
      </c>
      <c r="R224" s="9" t="str">
        <f t="shared" si="7"/>
        <v>8 化学工業用設備__その他の設備</v>
      </c>
      <c r="S224" s="100">
        <v>8</v>
      </c>
      <c r="AC224" s="9">
        <v>8</v>
      </c>
      <c r="AD224" s="1">
        <v>8</v>
      </c>
    </row>
    <row r="225" spans="3:30">
      <c r="C225" s="100"/>
      <c r="D225" s="100"/>
      <c r="E225" s="100"/>
      <c r="F225" s="100"/>
      <c r="G225" s="100"/>
      <c r="H225" s="100"/>
      <c r="I225" s="9" t="s">
        <v>462</v>
      </c>
      <c r="J225" s="100"/>
      <c r="K225" s="9" t="str">
        <f t="shared" si="6"/>
        <v>29 鉱業、採石業又は砂利採取業用設備_</v>
      </c>
      <c r="L225" s="100" t="s">
        <v>465</v>
      </c>
      <c r="M225" s="100" t="s">
        <v>216</v>
      </c>
      <c r="N225" s="100" t="s">
        <v>227</v>
      </c>
      <c r="O225" s="100" t="s">
        <v>466</v>
      </c>
      <c r="P225" s="100"/>
      <c r="Q225" s="100"/>
      <c r="R225" s="9" t="str">
        <f t="shared" si="7"/>
        <v>9 石油製品又は石炭製品製造業用設備__</v>
      </c>
      <c r="S225" s="100">
        <v>7</v>
      </c>
      <c r="AC225" s="9">
        <v>8</v>
      </c>
      <c r="AD225" s="1">
        <v>9</v>
      </c>
    </row>
    <row r="226" spans="3:30">
      <c r="C226" s="100"/>
      <c r="D226" s="100"/>
      <c r="E226" s="100"/>
      <c r="F226" s="100"/>
      <c r="G226" s="100"/>
      <c r="H226" s="100"/>
      <c r="I226" s="9" t="s">
        <v>462</v>
      </c>
      <c r="J226" s="100"/>
      <c r="K226" s="9" t="str">
        <f t="shared" si="6"/>
        <v>29 鉱業、採石業又は砂利採取業用設備_</v>
      </c>
      <c r="L226" s="100" t="s">
        <v>431</v>
      </c>
      <c r="M226" s="100" t="s">
        <v>216</v>
      </c>
      <c r="N226" s="100" t="s">
        <v>227</v>
      </c>
      <c r="O226" s="100" t="s">
        <v>467</v>
      </c>
      <c r="P226" s="100"/>
      <c r="Q226" s="100"/>
      <c r="R226" s="9" t="str">
        <f t="shared" si="7"/>
        <v>10 プラスチック製品製造業用設備（他の号に掲げるものを除く。）__</v>
      </c>
      <c r="S226" s="100">
        <v>8</v>
      </c>
      <c r="AC226" s="9">
        <v>8</v>
      </c>
      <c r="AD226" s="1">
        <v>10</v>
      </c>
    </row>
    <row r="227" spans="3:30">
      <c r="C227" s="100"/>
      <c r="D227" s="100"/>
      <c r="E227" s="100"/>
      <c r="F227" s="100"/>
      <c r="G227" s="100"/>
      <c r="H227" s="100"/>
      <c r="I227" s="100" t="s">
        <v>468</v>
      </c>
      <c r="J227" s="100"/>
      <c r="K227" s="9" t="str">
        <f t="shared" si="6"/>
        <v>31 電気業用設備_</v>
      </c>
      <c r="L227" s="100" t="s">
        <v>469</v>
      </c>
      <c r="M227" s="100" t="s">
        <v>216</v>
      </c>
      <c r="N227" s="100" t="s">
        <v>227</v>
      </c>
      <c r="O227" s="100" t="s">
        <v>470</v>
      </c>
      <c r="P227" s="100"/>
      <c r="Q227" s="100"/>
      <c r="R227" s="9" t="str">
        <f t="shared" si="7"/>
        <v>11 ゴム製品製造業用設備__</v>
      </c>
      <c r="S227" s="100">
        <v>9</v>
      </c>
      <c r="AC227" s="9">
        <v>8</v>
      </c>
      <c r="AD227" s="1">
        <v>11</v>
      </c>
    </row>
    <row r="228" spans="3:30">
      <c r="C228" s="100"/>
      <c r="D228" s="100"/>
      <c r="E228" s="100"/>
      <c r="F228" s="100"/>
      <c r="G228" s="100"/>
      <c r="H228" s="100"/>
      <c r="I228" s="9" t="s">
        <v>468</v>
      </c>
      <c r="J228" s="100"/>
      <c r="K228" s="9" t="str">
        <f t="shared" si="6"/>
        <v>31 電気業用設備_</v>
      </c>
      <c r="L228" s="100" t="s">
        <v>471</v>
      </c>
      <c r="M228" s="100" t="s">
        <v>216</v>
      </c>
      <c r="N228" s="100" t="s">
        <v>227</v>
      </c>
      <c r="O228" s="100" t="s">
        <v>472</v>
      </c>
      <c r="P228" s="100"/>
      <c r="Q228" s="100"/>
      <c r="R228" s="9" t="str">
        <f t="shared" si="7"/>
        <v>12 なめし革、なめし革製品又は毛皮製造業用設備__</v>
      </c>
      <c r="S228" s="100">
        <v>9</v>
      </c>
      <c r="AC228" s="9">
        <v>8</v>
      </c>
      <c r="AD228" s="1">
        <v>12</v>
      </c>
    </row>
    <row r="229" spans="3:30">
      <c r="C229" s="100"/>
      <c r="D229" s="100"/>
      <c r="E229" s="100"/>
      <c r="F229" s="100"/>
      <c r="G229" s="100"/>
      <c r="H229" s="100"/>
      <c r="I229" s="9" t="s">
        <v>468</v>
      </c>
      <c r="J229" s="100"/>
      <c r="K229" s="9" t="str">
        <f t="shared" si="6"/>
        <v>31 電気業用設備_</v>
      </c>
      <c r="L229" s="100" t="s">
        <v>473</v>
      </c>
      <c r="M229" s="100" t="s">
        <v>216</v>
      </c>
      <c r="N229" s="100" t="s">
        <v>227</v>
      </c>
      <c r="O229" s="100" t="s">
        <v>474</v>
      </c>
      <c r="P229" s="100"/>
      <c r="Q229" s="100"/>
      <c r="R229" s="9" t="str">
        <f t="shared" si="7"/>
        <v>13 窯業又は土石製品製造業用設備__</v>
      </c>
      <c r="S229" s="100">
        <v>9</v>
      </c>
      <c r="AC229" s="9">
        <v>8</v>
      </c>
      <c r="AD229" s="1">
        <v>13</v>
      </c>
    </row>
    <row r="230" spans="3:30">
      <c r="C230" s="100"/>
      <c r="D230" s="100"/>
      <c r="E230" s="100"/>
      <c r="F230" s="100"/>
      <c r="G230" s="100"/>
      <c r="H230" s="100"/>
      <c r="I230" s="9" t="s">
        <v>468</v>
      </c>
      <c r="J230" s="100"/>
      <c r="K230" s="9" t="str">
        <f t="shared" si="6"/>
        <v>31 電気業用設備_</v>
      </c>
      <c r="L230" s="100" t="s">
        <v>475</v>
      </c>
      <c r="M230" s="100" t="s">
        <v>216</v>
      </c>
      <c r="N230" s="100" t="s">
        <v>227</v>
      </c>
      <c r="O230" s="100" t="s">
        <v>446</v>
      </c>
      <c r="P230" s="100"/>
      <c r="Q230" s="100" t="s">
        <v>447</v>
      </c>
      <c r="R230" s="9" t="str">
        <f t="shared" si="7"/>
        <v>14 鉄鋼業用設備__表面処理鋼材若しくは鉄粉製造業又は鉄スクラップ加工処理業用設備</v>
      </c>
      <c r="S230" s="100">
        <v>5</v>
      </c>
      <c r="AC230" s="9">
        <v>8</v>
      </c>
      <c r="AD230" s="1">
        <v>14</v>
      </c>
    </row>
    <row r="231" spans="3:30">
      <c r="C231" s="100"/>
      <c r="D231" s="100"/>
      <c r="E231" s="100"/>
      <c r="F231" s="100"/>
      <c r="G231" s="100"/>
      <c r="H231" s="100"/>
      <c r="I231" s="9" t="s">
        <v>468</v>
      </c>
      <c r="J231" s="100"/>
      <c r="K231" s="9" t="str">
        <f t="shared" si="6"/>
        <v>31 電気業用設備_</v>
      </c>
      <c r="L231" s="100" t="s">
        <v>476</v>
      </c>
      <c r="M231" s="100" t="s">
        <v>216</v>
      </c>
      <c r="N231" s="100" t="s">
        <v>227</v>
      </c>
      <c r="O231" s="100" t="s">
        <v>446</v>
      </c>
      <c r="P231" s="100"/>
      <c r="Q231" s="100" t="s">
        <v>449</v>
      </c>
      <c r="R231" s="9" t="str">
        <f t="shared" si="7"/>
        <v>14 鉄鋼業用設備__純鉄、原鉄、ベースメタル、フェロアロイ、鉄素形材又は鋳鉄管製造業用設備</v>
      </c>
      <c r="S231" s="100">
        <v>9</v>
      </c>
      <c r="AC231" s="9">
        <v>8</v>
      </c>
      <c r="AD231" s="1">
        <v>15</v>
      </c>
    </row>
    <row r="232" spans="3:30">
      <c r="C232" s="100"/>
      <c r="D232" s="100"/>
      <c r="E232" s="100"/>
      <c r="F232" s="100"/>
      <c r="G232" s="100"/>
      <c r="H232" s="100"/>
      <c r="I232" s="9" t="s">
        <v>468</v>
      </c>
      <c r="J232" s="100"/>
      <c r="K232" s="9" t="str">
        <f t="shared" si="6"/>
        <v>31 電気業用設備_</v>
      </c>
      <c r="L232" s="100" t="s">
        <v>477</v>
      </c>
      <c r="M232" s="100" t="s">
        <v>216</v>
      </c>
      <c r="N232" s="100" t="s">
        <v>227</v>
      </c>
      <c r="O232" s="100" t="s">
        <v>446</v>
      </c>
      <c r="P232" s="100"/>
      <c r="Q232" s="100" t="s">
        <v>431</v>
      </c>
      <c r="R232" s="9" t="str">
        <f t="shared" si="7"/>
        <v>14 鉄鋼業用設備__その他の設備</v>
      </c>
      <c r="S232" s="100">
        <v>14</v>
      </c>
      <c r="AC232" s="9">
        <v>8</v>
      </c>
      <c r="AD232" s="1">
        <v>16</v>
      </c>
    </row>
    <row r="233" spans="3:30">
      <c r="C233" s="100"/>
      <c r="D233" s="100"/>
      <c r="E233" s="100"/>
      <c r="F233" s="100"/>
      <c r="G233" s="100"/>
      <c r="H233" s="100"/>
      <c r="I233" s="9" t="s">
        <v>468</v>
      </c>
      <c r="J233" s="100"/>
      <c r="K233" s="9" t="str">
        <f t="shared" si="6"/>
        <v>31 電気業用設備_</v>
      </c>
      <c r="L233" s="100" t="s">
        <v>478</v>
      </c>
      <c r="M233" s="100" t="s">
        <v>216</v>
      </c>
      <c r="N233" s="100" t="s">
        <v>227</v>
      </c>
      <c r="O233" s="100" t="s">
        <v>452</v>
      </c>
      <c r="P233" s="100"/>
      <c r="Q233" s="100" t="s">
        <v>453</v>
      </c>
      <c r="R233" s="9" t="str">
        <f t="shared" si="7"/>
        <v>15 非鉄金属製造業用設備__核燃料物質加工設備</v>
      </c>
      <c r="S233" s="100">
        <v>11</v>
      </c>
      <c r="AC233" s="9">
        <v>8</v>
      </c>
      <c r="AD233" s="1">
        <v>17</v>
      </c>
    </row>
    <row r="234" spans="3:30">
      <c r="C234" s="100"/>
      <c r="D234" s="100"/>
      <c r="E234" s="100"/>
      <c r="F234" s="100"/>
      <c r="G234" s="100"/>
      <c r="H234" s="100"/>
      <c r="I234" s="9" t="s">
        <v>468</v>
      </c>
      <c r="J234" s="100"/>
      <c r="K234" s="9" t="str">
        <f t="shared" si="6"/>
        <v>31 電気業用設備_</v>
      </c>
      <c r="L234" s="100" t="s">
        <v>479</v>
      </c>
      <c r="M234" s="100" t="s">
        <v>216</v>
      </c>
      <c r="N234" s="100" t="s">
        <v>227</v>
      </c>
      <c r="O234" s="100" t="s">
        <v>452</v>
      </c>
      <c r="P234" s="100"/>
      <c r="Q234" s="100" t="s">
        <v>431</v>
      </c>
      <c r="R234" s="9" t="str">
        <f t="shared" si="7"/>
        <v>15 非鉄金属製造業用設備__その他の設備</v>
      </c>
      <c r="S234" s="100">
        <v>7</v>
      </c>
      <c r="AC234" s="9">
        <v>8</v>
      </c>
      <c r="AD234" s="1">
        <v>18</v>
      </c>
    </row>
    <row r="235" spans="3:30">
      <c r="C235" s="100"/>
      <c r="D235" s="100"/>
      <c r="E235" s="100"/>
      <c r="F235" s="100"/>
      <c r="G235" s="100"/>
      <c r="H235" s="100"/>
      <c r="I235" s="9" t="s">
        <v>468</v>
      </c>
      <c r="J235" s="100"/>
      <c r="K235" s="9" t="str">
        <f t="shared" si="6"/>
        <v>31 電気業用設備_</v>
      </c>
      <c r="L235" s="100" t="s">
        <v>480</v>
      </c>
      <c r="M235" s="100" t="s">
        <v>216</v>
      </c>
      <c r="N235" s="100" t="s">
        <v>227</v>
      </c>
      <c r="O235" s="100" t="s">
        <v>454</v>
      </c>
      <c r="P235" s="100"/>
      <c r="Q235" s="100" t="s">
        <v>455</v>
      </c>
      <c r="R235" s="9" t="str">
        <f t="shared" si="7"/>
        <v>16 金属製品製造業用設備__金属被覆及び彫刻業又は打はく及び金属製ネームプレート製造業用設備</v>
      </c>
      <c r="S235" s="100">
        <v>6</v>
      </c>
      <c r="AC235" s="9">
        <v>8</v>
      </c>
      <c r="AD235" s="1">
        <v>19</v>
      </c>
    </row>
    <row r="236" spans="3:30">
      <c r="C236" s="100"/>
      <c r="D236" s="100"/>
      <c r="E236" s="100"/>
      <c r="F236" s="100"/>
      <c r="G236" s="100"/>
      <c r="H236" s="100"/>
      <c r="I236" s="9" t="s">
        <v>468</v>
      </c>
      <c r="J236" s="100"/>
      <c r="K236" s="9" t="str">
        <f t="shared" si="6"/>
        <v>31 電気業用設備_</v>
      </c>
      <c r="L236" s="100" t="s">
        <v>481</v>
      </c>
      <c r="M236" s="100" t="s">
        <v>216</v>
      </c>
      <c r="N236" s="100" t="s">
        <v>227</v>
      </c>
      <c r="O236" s="100" t="s">
        <v>454</v>
      </c>
      <c r="P236" s="100"/>
      <c r="Q236" s="100" t="s">
        <v>431</v>
      </c>
      <c r="R236" s="9" t="str">
        <f t="shared" si="7"/>
        <v>16 金属製品製造業用設備__その他の設備</v>
      </c>
      <c r="S236" s="100">
        <v>10</v>
      </c>
      <c r="AC236" s="9">
        <v>8</v>
      </c>
      <c r="AD236" s="1">
        <v>20</v>
      </c>
    </row>
    <row r="237" spans="3:30">
      <c r="C237" s="100"/>
      <c r="D237" s="100"/>
      <c r="E237" s="100"/>
      <c r="F237" s="100"/>
      <c r="G237" s="100"/>
      <c r="H237" s="100"/>
      <c r="I237" s="100" t="s">
        <v>482</v>
      </c>
      <c r="J237" s="100"/>
      <c r="K237" s="9" t="str">
        <f t="shared" si="6"/>
        <v>32 ガス業用設備_</v>
      </c>
      <c r="L237" s="100" t="s">
        <v>483</v>
      </c>
      <c r="M237" s="100" t="s">
        <v>216</v>
      </c>
      <c r="N237" s="100" t="s">
        <v>227</v>
      </c>
      <c r="O237" s="100" t="s">
        <v>484</v>
      </c>
      <c r="P237" s="100"/>
      <c r="Q237" s="100"/>
      <c r="R237" s="9" t="str">
        <f t="shared" si="7"/>
        <v>17 はん用機械器具（はん用性を有するもので、他の器具及び備品並びに機械及び装置に組み込み、又は取り付けることによりその用に供されるものをいう。）製造業用設備（第二〇号及び第二二号に掲げるものを除く。）__</v>
      </c>
      <c r="S237" s="100">
        <v>12</v>
      </c>
      <c r="AC237" s="9">
        <v>8</v>
      </c>
      <c r="AD237" s="1">
        <v>21</v>
      </c>
    </row>
    <row r="238" spans="3:30">
      <c r="C238" s="100"/>
      <c r="D238" s="100"/>
      <c r="E238" s="100"/>
      <c r="F238" s="100"/>
      <c r="G238" s="100"/>
      <c r="H238" s="100"/>
      <c r="I238" s="9" t="s">
        <v>482</v>
      </c>
      <c r="J238" s="100"/>
      <c r="K238" s="9" t="str">
        <f t="shared" si="6"/>
        <v>32 ガス業用設備_</v>
      </c>
      <c r="L238" s="100" t="s">
        <v>485</v>
      </c>
      <c r="M238" s="100" t="s">
        <v>216</v>
      </c>
      <c r="N238" s="100" t="s">
        <v>227</v>
      </c>
      <c r="O238" s="100" t="s">
        <v>456</v>
      </c>
      <c r="P238" s="100"/>
      <c r="Q238" s="100" t="s">
        <v>457</v>
      </c>
      <c r="R238" s="9" t="str">
        <f t="shared" si="7"/>
        <v>18 生産用機械器具（物の生産の用に供されるものをいう。）製造業用設備（次号及び第二一号に掲げるものを除く。）__金属加工機械製造設備</v>
      </c>
      <c r="S238" s="100">
        <v>9</v>
      </c>
      <c r="AC238" s="9">
        <v>8</v>
      </c>
      <c r="AD238" s="1">
        <v>22</v>
      </c>
    </row>
    <row r="239" spans="3:30">
      <c r="C239" s="100"/>
      <c r="D239" s="100"/>
      <c r="E239" s="100"/>
      <c r="F239" s="100"/>
      <c r="G239" s="100"/>
      <c r="H239" s="100"/>
      <c r="I239" s="9" t="s">
        <v>482</v>
      </c>
      <c r="J239" s="100"/>
      <c r="K239" s="9" t="str">
        <f t="shared" si="6"/>
        <v>32 ガス業用設備_</v>
      </c>
      <c r="L239" s="100" t="s">
        <v>486</v>
      </c>
      <c r="M239" s="100" t="s">
        <v>216</v>
      </c>
      <c r="N239" s="100" t="s">
        <v>227</v>
      </c>
      <c r="O239" s="100" t="s">
        <v>456</v>
      </c>
      <c r="P239" s="100"/>
      <c r="Q239" s="100" t="s">
        <v>431</v>
      </c>
      <c r="R239" s="9" t="str">
        <f t="shared" si="7"/>
        <v>18 生産用機械器具（物の生産の用に供されるものをいう。）製造業用設備（次号及び第二一号に掲げるものを除く。）__その他の設備</v>
      </c>
      <c r="S239" s="100">
        <v>12</v>
      </c>
      <c r="AC239" s="9">
        <v>8</v>
      </c>
      <c r="AD239" s="1">
        <v>23</v>
      </c>
    </row>
    <row r="240" spans="3:30">
      <c r="C240" s="100"/>
      <c r="D240" s="100"/>
      <c r="E240" s="100"/>
      <c r="F240" s="100"/>
      <c r="G240" s="100"/>
      <c r="H240" s="100"/>
      <c r="I240" s="9" t="s">
        <v>482</v>
      </c>
      <c r="J240" s="100"/>
      <c r="K240" s="9" t="str">
        <f t="shared" si="6"/>
        <v>32 ガス業用設備_</v>
      </c>
      <c r="L240" s="100" t="s">
        <v>487</v>
      </c>
      <c r="M240" s="100" t="s">
        <v>216</v>
      </c>
      <c r="N240" s="100" t="s">
        <v>227</v>
      </c>
      <c r="O240" s="100" t="s">
        <v>488</v>
      </c>
      <c r="P240" s="100"/>
      <c r="Q240" s="100"/>
      <c r="R240" s="9" t="str">
        <f t="shared" si="7"/>
        <v>19 業務用機械器具（業務用又はサービスの生産の用に供されるもの（これらのものであつて物の生産の用に供されるものを含む。）をいう。）製造業用設備（第一七号、第二一号及び第二三号に掲げるものを除く。）__</v>
      </c>
      <c r="S240" s="100">
        <v>7</v>
      </c>
      <c r="AC240" s="9">
        <v>8</v>
      </c>
      <c r="AD240" s="1">
        <v>24</v>
      </c>
    </row>
    <row r="241" spans="3:30">
      <c r="C241" s="100"/>
      <c r="D241" s="100"/>
      <c r="E241" s="100"/>
      <c r="F241" s="100"/>
      <c r="G241" s="100"/>
      <c r="H241" s="100"/>
      <c r="I241" s="9" t="s">
        <v>482</v>
      </c>
      <c r="J241" s="100"/>
      <c r="K241" s="9" t="str">
        <f t="shared" si="6"/>
        <v>32 ガス業用設備_</v>
      </c>
      <c r="L241" s="100" t="s">
        <v>489</v>
      </c>
      <c r="M241" s="100" t="s">
        <v>216</v>
      </c>
      <c r="N241" s="100" t="s">
        <v>227</v>
      </c>
      <c r="O241" s="100" t="s">
        <v>458</v>
      </c>
      <c r="P241" s="100"/>
      <c r="Q241" s="100" t="s">
        <v>459</v>
      </c>
      <c r="R241" s="9" t="str">
        <f t="shared" si="7"/>
        <v>20 電子部品、デバイス又は電子回路製造業用設備__光ディスク（追記型又は書換え型のものに限る。）製造設備</v>
      </c>
      <c r="S241" s="100">
        <v>6</v>
      </c>
      <c r="AC241" s="9">
        <v>8</v>
      </c>
      <c r="AD241" s="1">
        <v>25</v>
      </c>
    </row>
    <row r="242" spans="3:30">
      <c r="C242" s="100"/>
      <c r="D242" s="100"/>
      <c r="E242" s="100"/>
      <c r="F242" s="100"/>
      <c r="G242" s="100"/>
      <c r="H242" s="100"/>
      <c r="I242" s="9" t="s">
        <v>482</v>
      </c>
      <c r="J242" s="100"/>
      <c r="K242" s="9" t="str">
        <f t="shared" si="6"/>
        <v>32 ガス業用設備_</v>
      </c>
      <c r="L242" s="100" t="s">
        <v>480</v>
      </c>
      <c r="M242" s="100" t="s">
        <v>216</v>
      </c>
      <c r="N242" s="100" t="s">
        <v>227</v>
      </c>
      <c r="O242" s="100" t="s">
        <v>458</v>
      </c>
      <c r="P242" s="100"/>
      <c r="Q242" s="100" t="s">
        <v>460</v>
      </c>
      <c r="R242" s="9" t="str">
        <f t="shared" si="7"/>
        <v>20 電子部品、デバイス又は電子回路製造業用設備__プリント配線基板製造設備</v>
      </c>
      <c r="S242" s="100">
        <v>6</v>
      </c>
      <c r="AC242" s="9">
        <v>8</v>
      </c>
      <c r="AD242" s="1">
        <v>26</v>
      </c>
    </row>
    <row r="243" spans="3:30">
      <c r="C243" s="100"/>
      <c r="D243" s="100"/>
      <c r="E243" s="100"/>
      <c r="F243" s="100"/>
      <c r="G243" s="100"/>
      <c r="H243" s="100"/>
      <c r="I243" s="9" t="s">
        <v>482</v>
      </c>
      <c r="J243" s="100"/>
      <c r="K243" s="9" t="str">
        <f t="shared" si="6"/>
        <v>32 ガス業用設備_</v>
      </c>
      <c r="L243" s="100" t="s">
        <v>481</v>
      </c>
      <c r="M243" s="100" t="s">
        <v>216</v>
      </c>
      <c r="N243" s="100" t="s">
        <v>227</v>
      </c>
      <c r="O243" s="100" t="s">
        <v>458</v>
      </c>
      <c r="P243" s="100"/>
      <c r="Q243" s="100" t="s">
        <v>461</v>
      </c>
      <c r="R243" s="9" t="str">
        <f t="shared" si="7"/>
        <v>20 電子部品、デバイス又は電子回路製造業用設備__フラットパネルディスプレイ、半導体集積回路又は半導体素子製造設備</v>
      </c>
      <c r="S243" s="100">
        <v>5</v>
      </c>
      <c r="AC243" s="9">
        <v>8</v>
      </c>
      <c r="AD243" s="1">
        <v>27</v>
      </c>
    </row>
    <row r="244" spans="3:30">
      <c r="C244" s="100"/>
      <c r="D244" s="100"/>
      <c r="E244" s="100"/>
      <c r="F244" s="100"/>
      <c r="G244" s="100"/>
      <c r="H244" s="100"/>
      <c r="I244" s="100" t="s">
        <v>490</v>
      </c>
      <c r="J244" s="100"/>
      <c r="K244" s="9" t="str">
        <f t="shared" si="6"/>
        <v>38 鉄道業用設備_</v>
      </c>
      <c r="L244" s="100" t="s">
        <v>491</v>
      </c>
      <c r="M244" s="100" t="s">
        <v>216</v>
      </c>
      <c r="N244" s="100" t="s">
        <v>227</v>
      </c>
      <c r="O244" s="100" t="s">
        <v>458</v>
      </c>
      <c r="P244" s="100"/>
      <c r="Q244" s="100" t="s">
        <v>431</v>
      </c>
      <c r="R244" s="9" t="str">
        <f t="shared" si="7"/>
        <v>20 電子部品、デバイス又は電子回路製造業用設備__その他の設備</v>
      </c>
      <c r="S244" s="100">
        <v>8</v>
      </c>
      <c r="AC244" s="9">
        <v>8</v>
      </c>
      <c r="AD244" s="1">
        <v>28</v>
      </c>
    </row>
    <row r="245" spans="3:30">
      <c r="C245" s="100"/>
      <c r="D245" s="100"/>
      <c r="E245" s="100"/>
      <c r="F245" s="100"/>
      <c r="G245" s="100"/>
      <c r="H245" s="100"/>
      <c r="I245" s="9" t="s">
        <v>490</v>
      </c>
      <c r="J245" s="100"/>
      <c r="K245" s="9" t="str">
        <f t="shared" si="6"/>
        <v>38 鉄道業用設備_</v>
      </c>
      <c r="L245" s="100" t="s">
        <v>431</v>
      </c>
      <c r="M245" s="100" t="s">
        <v>216</v>
      </c>
      <c r="N245" s="100" t="s">
        <v>227</v>
      </c>
      <c r="O245" s="100" t="s">
        <v>492</v>
      </c>
      <c r="P245" s="100"/>
      <c r="Q245" s="100"/>
      <c r="R245" s="9" t="str">
        <f t="shared" si="7"/>
        <v>21 電気機械器具製造業用設備__</v>
      </c>
      <c r="S245" s="100">
        <v>7</v>
      </c>
      <c r="AC245" s="9">
        <v>8</v>
      </c>
      <c r="AD245" s="1">
        <v>29</v>
      </c>
    </row>
    <row r="246" spans="3:30">
      <c r="C246" s="100"/>
      <c r="D246" s="100"/>
      <c r="E246" s="100"/>
      <c r="F246" s="100"/>
      <c r="G246" s="100"/>
      <c r="H246" s="100"/>
      <c r="I246" s="100" t="s">
        <v>493</v>
      </c>
      <c r="J246" s="100"/>
      <c r="K246" s="9" t="str">
        <f t="shared" si="6"/>
        <v>43 建築材料、鉱物又は金属材料等卸売業用設備_</v>
      </c>
      <c r="L246" s="100" t="s">
        <v>494</v>
      </c>
      <c r="M246" s="100" t="s">
        <v>216</v>
      </c>
      <c r="N246" s="100" t="s">
        <v>227</v>
      </c>
      <c r="O246" s="100" t="s">
        <v>495</v>
      </c>
      <c r="P246" s="100"/>
      <c r="Q246" s="100"/>
      <c r="R246" s="9" t="str">
        <f t="shared" si="7"/>
        <v>22 情報通信機械器具製造業用設備__</v>
      </c>
      <c r="S246" s="100">
        <v>8</v>
      </c>
      <c r="AC246" s="9">
        <v>8</v>
      </c>
      <c r="AD246" s="1">
        <v>30</v>
      </c>
    </row>
    <row r="247" spans="3:30">
      <c r="C247" s="100"/>
      <c r="D247" s="100"/>
      <c r="E247" s="100"/>
      <c r="F247" s="100"/>
      <c r="G247" s="100"/>
      <c r="H247" s="100"/>
      <c r="I247" s="9" t="s">
        <v>493</v>
      </c>
      <c r="J247" s="100"/>
      <c r="K247" s="9" t="str">
        <f t="shared" si="6"/>
        <v>43 建築材料、鉱物又は金属材料等卸売業用設備_</v>
      </c>
      <c r="L247" s="100" t="s">
        <v>431</v>
      </c>
      <c r="M247" s="100" t="s">
        <v>216</v>
      </c>
      <c r="N247" s="100" t="s">
        <v>227</v>
      </c>
      <c r="O247" s="100" t="s">
        <v>496</v>
      </c>
      <c r="P247" s="100"/>
      <c r="Q247" s="100"/>
      <c r="R247" s="9" t="str">
        <f t="shared" si="7"/>
        <v>23 輸送用機械器具製造業用設備__</v>
      </c>
      <c r="S247" s="100">
        <v>9</v>
      </c>
      <c r="AC247" s="1">
        <v>9</v>
      </c>
      <c r="AD247" s="122" t="s">
        <v>161</v>
      </c>
    </row>
    <row r="248" spans="3:30">
      <c r="C248" s="100"/>
      <c r="D248" s="100"/>
      <c r="E248" s="100"/>
      <c r="F248" s="100"/>
      <c r="G248" s="100"/>
      <c r="H248" s="100"/>
      <c r="I248" s="100" t="s">
        <v>497</v>
      </c>
      <c r="J248" s="100"/>
      <c r="K248" s="9" t="str">
        <f t="shared" si="6"/>
        <v>45 その他の小売業用設備_</v>
      </c>
      <c r="L248" s="100" t="s">
        <v>498</v>
      </c>
      <c r="M248" s="100" t="s">
        <v>216</v>
      </c>
      <c r="N248" s="100" t="s">
        <v>227</v>
      </c>
      <c r="O248" s="100" t="s">
        <v>499</v>
      </c>
      <c r="P248" s="100"/>
      <c r="Q248" s="100"/>
      <c r="R248" s="9" t="str">
        <f t="shared" si="7"/>
        <v>24 その他の製造業用設備__</v>
      </c>
      <c r="S248" s="100">
        <v>9</v>
      </c>
      <c r="AC248" s="9">
        <v>9</v>
      </c>
      <c r="AD248" s="1">
        <v>1</v>
      </c>
    </row>
    <row r="249" spans="3:30">
      <c r="C249" s="100"/>
      <c r="D249" s="100"/>
      <c r="E249" s="100"/>
      <c r="F249" s="100"/>
      <c r="G249" s="100"/>
      <c r="H249" s="100"/>
      <c r="I249" s="9" t="s">
        <v>497</v>
      </c>
      <c r="J249" s="100"/>
      <c r="K249" s="9" t="str">
        <f t="shared" si="6"/>
        <v>45 その他の小売業用設備_</v>
      </c>
      <c r="L249" s="100" t="s">
        <v>480</v>
      </c>
      <c r="M249" s="100" t="s">
        <v>216</v>
      </c>
      <c r="N249" s="100" t="s">
        <v>227</v>
      </c>
      <c r="O249" s="100" t="s">
        <v>500</v>
      </c>
      <c r="P249" s="100"/>
      <c r="Q249" s="100"/>
      <c r="R249" s="9" t="str">
        <f t="shared" si="7"/>
        <v>25 農業用設備__</v>
      </c>
      <c r="S249" s="100">
        <v>7</v>
      </c>
      <c r="AC249" s="9">
        <v>9</v>
      </c>
      <c r="AD249" s="1">
        <v>2</v>
      </c>
    </row>
    <row r="250" spans="3:30">
      <c r="C250" s="100"/>
      <c r="D250" s="100"/>
      <c r="E250" s="100"/>
      <c r="F250" s="100"/>
      <c r="G250" s="100"/>
      <c r="H250" s="100"/>
      <c r="I250" s="9" t="s">
        <v>497</v>
      </c>
      <c r="J250" s="100"/>
      <c r="K250" s="9" t="str">
        <f t="shared" si="6"/>
        <v>45 その他の小売業用設備_</v>
      </c>
      <c r="L250" s="100" t="s">
        <v>481</v>
      </c>
      <c r="M250" s="100" t="s">
        <v>216</v>
      </c>
      <c r="N250" s="100" t="s">
        <v>227</v>
      </c>
      <c r="O250" s="100" t="s">
        <v>501</v>
      </c>
      <c r="P250" s="100"/>
      <c r="Q250" s="100"/>
      <c r="R250" s="9" t="str">
        <f t="shared" si="7"/>
        <v>26 林業用設備__</v>
      </c>
      <c r="S250" s="100">
        <v>5</v>
      </c>
      <c r="AC250" s="9">
        <v>9</v>
      </c>
      <c r="AD250" s="1">
        <v>3</v>
      </c>
    </row>
    <row r="251" spans="3:30">
      <c r="C251" s="100"/>
      <c r="D251" s="100"/>
      <c r="E251" s="100"/>
      <c r="F251" s="100"/>
      <c r="G251" s="100"/>
      <c r="H251" s="100"/>
      <c r="I251" s="100" t="s">
        <v>502</v>
      </c>
      <c r="J251" s="100"/>
      <c r="K251" s="9" t="str">
        <f t="shared" si="6"/>
        <v>46 技術サービス業用設備（他の号に掲げるものを除く。）_</v>
      </c>
      <c r="L251" s="100" t="s">
        <v>503</v>
      </c>
      <c r="M251" s="100" t="s">
        <v>216</v>
      </c>
      <c r="N251" s="100" t="s">
        <v>227</v>
      </c>
      <c r="O251" s="100" t="s">
        <v>504</v>
      </c>
      <c r="P251" s="100"/>
      <c r="Q251" s="100"/>
      <c r="R251" s="9" t="str">
        <f t="shared" si="7"/>
        <v>27 漁業用設備（次号に掲げるものを除く。）__</v>
      </c>
      <c r="S251" s="100">
        <v>5</v>
      </c>
      <c r="AC251" s="9">
        <v>9</v>
      </c>
      <c r="AD251" s="1">
        <v>4</v>
      </c>
    </row>
    <row r="252" spans="3:30">
      <c r="C252" s="100"/>
      <c r="D252" s="100"/>
      <c r="E252" s="100"/>
      <c r="F252" s="100"/>
      <c r="G252" s="100"/>
      <c r="H252" s="100"/>
      <c r="I252" s="9" t="s">
        <v>502</v>
      </c>
      <c r="J252" s="100"/>
      <c r="K252" s="9" t="str">
        <f t="shared" si="6"/>
        <v>46 技術サービス業用設備（他の号に掲げるものを除く。）_</v>
      </c>
      <c r="L252" s="100" t="s">
        <v>431</v>
      </c>
      <c r="M252" s="100" t="s">
        <v>216</v>
      </c>
      <c r="N252" s="100" t="s">
        <v>227</v>
      </c>
      <c r="O252" s="100" t="s">
        <v>505</v>
      </c>
      <c r="P252" s="100"/>
      <c r="Q252" s="100"/>
      <c r="R252" s="9" t="str">
        <f t="shared" si="7"/>
        <v>28 水産養殖業用設備__</v>
      </c>
      <c r="S252" s="100">
        <v>5</v>
      </c>
      <c r="AC252" s="9">
        <v>9</v>
      </c>
      <c r="AD252" s="1">
        <v>5</v>
      </c>
    </row>
    <row r="253" spans="3:30">
      <c r="C253" s="100"/>
      <c r="D253" s="100"/>
      <c r="E253" s="100"/>
      <c r="F253" s="100"/>
      <c r="G253" s="100"/>
      <c r="H253" s="100"/>
      <c r="I253" s="100" t="s">
        <v>506</v>
      </c>
      <c r="J253" s="100"/>
      <c r="K253" s="9" t="str">
        <f t="shared" si="6"/>
        <v>51 娯楽業用設備_</v>
      </c>
      <c r="L253" s="100" t="s">
        <v>507</v>
      </c>
      <c r="M253" s="100" t="s">
        <v>216</v>
      </c>
      <c r="N253" s="100" t="s">
        <v>227</v>
      </c>
      <c r="O253" s="100" t="s">
        <v>462</v>
      </c>
      <c r="P253" s="100"/>
      <c r="Q253" s="100" t="s">
        <v>463</v>
      </c>
      <c r="R253" s="9" t="str">
        <f t="shared" si="7"/>
        <v>29 鉱業、採石業又は砂利採取業用設備__石油又は天然ガス鉱業用設備　坑井設備</v>
      </c>
      <c r="S253" s="100">
        <v>3</v>
      </c>
      <c r="AC253" s="9">
        <v>9</v>
      </c>
      <c r="AD253" s="1">
        <v>6</v>
      </c>
    </row>
    <row r="254" spans="3:30">
      <c r="C254" s="100"/>
      <c r="D254" s="100"/>
      <c r="E254" s="100"/>
      <c r="F254" s="100"/>
      <c r="G254" s="100"/>
      <c r="H254" s="100"/>
      <c r="I254" s="9" t="s">
        <v>506</v>
      </c>
      <c r="J254" s="100"/>
      <c r="K254" s="9" t="str">
        <f t="shared" si="6"/>
        <v>51 娯楽業用設備_</v>
      </c>
      <c r="L254" s="100" t="s">
        <v>508</v>
      </c>
      <c r="M254" s="100" t="s">
        <v>216</v>
      </c>
      <c r="N254" s="100" t="s">
        <v>227</v>
      </c>
      <c r="O254" s="100" t="s">
        <v>462</v>
      </c>
      <c r="P254" s="100"/>
      <c r="Q254" s="100" t="s">
        <v>464</v>
      </c>
      <c r="R254" s="9" t="str">
        <f t="shared" si="7"/>
        <v>29 鉱業、採石業又は砂利採取業用設備__石油又は天然ガス鉱業用設備　掘さく設備</v>
      </c>
      <c r="S254" s="100">
        <v>6</v>
      </c>
      <c r="AC254" s="9">
        <v>9</v>
      </c>
      <c r="AD254" s="1">
        <v>7</v>
      </c>
    </row>
    <row r="255" spans="3:30">
      <c r="C255" s="100"/>
      <c r="D255" s="100"/>
      <c r="E255" s="100"/>
      <c r="F255" s="100"/>
      <c r="G255" s="100"/>
      <c r="H255" s="100"/>
      <c r="I255" s="9" t="s">
        <v>506</v>
      </c>
      <c r="J255" s="100"/>
      <c r="K255" s="9" t="str">
        <f t="shared" si="6"/>
        <v>51 娯楽業用設備_</v>
      </c>
      <c r="L255" s="100" t="s">
        <v>509</v>
      </c>
      <c r="M255" s="100" t="s">
        <v>216</v>
      </c>
      <c r="N255" s="100" t="s">
        <v>227</v>
      </c>
      <c r="O255" s="100" t="s">
        <v>462</v>
      </c>
      <c r="P255" s="100"/>
      <c r="Q255" s="100" t="s">
        <v>465</v>
      </c>
      <c r="R255" s="9" t="str">
        <f t="shared" si="7"/>
        <v>29 鉱業、採石業又は砂利採取業用設備__石油又は天然ガス鉱業用設備　その他の設備</v>
      </c>
      <c r="S255" s="100">
        <v>12</v>
      </c>
      <c r="AC255" s="9">
        <v>9</v>
      </c>
      <c r="AD255" s="1">
        <v>8</v>
      </c>
    </row>
    <row r="256" spans="3:30">
      <c r="C256" s="100"/>
      <c r="D256" s="100"/>
      <c r="E256" s="100"/>
      <c r="F256" s="100"/>
      <c r="G256" s="100"/>
      <c r="H256" s="100"/>
      <c r="I256" s="9" t="s">
        <v>506</v>
      </c>
      <c r="J256" s="100"/>
      <c r="K256" s="9" t="str">
        <f t="shared" si="6"/>
        <v>51 娯楽業用設備_</v>
      </c>
      <c r="L256" s="100" t="s">
        <v>480</v>
      </c>
      <c r="M256" s="100" t="s">
        <v>216</v>
      </c>
      <c r="N256" s="100" t="s">
        <v>227</v>
      </c>
      <c r="O256" s="100" t="s">
        <v>462</v>
      </c>
      <c r="P256" s="100"/>
      <c r="Q256" s="100" t="s">
        <v>431</v>
      </c>
      <c r="R256" s="9" t="str">
        <f t="shared" si="7"/>
        <v>29 鉱業、採石業又は砂利採取業用設備__その他の設備</v>
      </c>
      <c r="S256" s="100">
        <v>6</v>
      </c>
      <c r="AC256" s="9">
        <v>9</v>
      </c>
      <c r="AD256" s="1">
        <v>9</v>
      </c>
    </row>
    <row r="257" spans="3:30">
      <c r="C257" s="100"/>
      <c r="D257" s="100"/>
      <c r="E257" s="100"/>
      <c r="F257" s="100"/>
      <c r="G257" s="100"/>
      <c r="H257" s="100"/>
      <c r="I257" s="9" t="s">
        <v>506</v>
      </c>
      <c r="J257" s="100"/>
      <c r="K257" s="9" t="str">
        <f t="shared" si="6"/>
        <v>51 娯楽業用設備_</v>
      </c>
      <c r="L257" s="100" t="s">
        <v>481</v>
      </c>
      <c r="M257" s="100" t="s">
        <v>216</v>
      </c>
      <c r="N257" s="100" t="s">
        <v>227</v>
      </c>
      <c r="O257" s="100" t="s">
        <v>510</v>
      </c>
      <c r="P257" s="100"/>
      <c r="Q257" s="100"/>
      <c r="R257" s="9" t="str">
        <f t="shared" si="7"/>
        <v>30 総合工事業用設備__</v>
      </c>
      <c r="S257" s="100">
        <v>6</v>
      </c>
      <c r="AC257" s="9">
        <v>9</v>
      </c>
      <c r="AD257" s="1">
        <v>10</v>
      </c>
    </row>
    <row r="258" spans="3:30">
      <c r="C258" s="100"/>
      <c r="D258" s="100"/>
      <c r="E258" s="100"/>
      <c r="F258" s="100"/>
      <c r="G258" s="100"/>
      <c r="H258" s="100"/>
      <c r="I258" s="100" t="s">
        <v>511</v>
      </c>
      <c r="J258" s="100"/>
      <c r="K258" s="9" t="str">
        <f t="shared" si="6"/>
        <v>52 教育業（学校教育業を除く。）又は学習支援業用設備_</v>
      </c>
      <c r="L258" s="100" t="s">
        <v>512</v>
      </c>
      <c r="M258" s="100" t="s">
        <v>216</v>
      </c>
      <c r="N258" s="100" t="s">
        <v>227</v>
      </c>
      <c r="O258" s="100" t="s">
        <v>468</v>
      </c>
      <c r="P258" s="100"/>
      <c r="Q258" s="100" t="s">
        <v>469</v>
      </c>
      <c r="R258" s="9" t="str">
        <f t="shared" si="7"/>
        <v>31 電気業用設備__電気業用水力発電設備</v>
      </c>
      <c r="S258" s="100">
        <v>22</v>
      </c>
      <c r="AC258" s="9">
        <v>9</v>
      </c>
      <c r="AD258" s="1">
        <v>11</v>
      </c>
    </row>
    <row r="259" spans="3:30">
      <c r="C259" s="100"/>
      <c r="D259" s="100"/>
      <c r="E259" s="100"/>
      <c r="F259" s="100"/>
      <c r="G259" s="100"/>
      <c r="H259" s="100"/>
      <c r="I259" s="9" t="s">
        <v>511</v>
      </c>
      <c r="J259" s="100"/>
      <c r="K259" s="9" t="str">
        <f t="shared" si="6"/>
        <v>52 教育業（学校教育業を除く。）又は学習支援業用設備_</v>
      </c>
      <c r="L259" s="100" t="s">
        <v>480</v>
      </c>
      <c r="M259" s="100" t="s">
        <v>216</v>
      </c>
      <c r="N259" s="100" t="s">
        <v>227</v>
      </c>
      <c r="O259" s="100" t="s">
        <v>468</v>
      </c>
      <c r="P259" s="100"/>
      <c r="Q259" s="100" t="s">
        <v>471</v>
      </c>
      <c r="R259" s="9" t="str">
        <f t="shared" si="7"/>
        <v>31 電気業用設備__その他の水力発電設備</v>
      </c>
      <c r="S259" s="100">
        <v>20</v>
      </c>
      <c r="AC259" s="9">
        <v>9</v>
      </c>
      <c r="AD259" s="1">
        <v>12</v>
      </c>
    </row>
    <row r="260" spans="3:30">
      <c r="C260" s="100"/>
      <c r="D260" s="100"/>
      <c r="E260" s="100"/>
      <c r="F260" s="100"/>
      <c r="G260" s="100"/>
      <c r="H260" s="100"/>
      <c r="I260" s="9" t="s">
        <v>511</v>
      </c>
      <c r="J260" s="100"/>
      <c r="K260" s="9" t="str">
        <f t="shared" ref="K260:K270" si="8">I260&amp;"_"&amp;J260</f>
        <v>52 教育業（学校教育業を除く。）又は学習支援業用設備_</v>
      </c>
      <c r="L260" s="100" t="s">
        <v>481</v>
      </c>
      <c r="M260" s="100" t="s">
        <v>216</v>
      </c>
      <c r="N260" s="100" t="s">
        <v>227</v>
      </c>
      <c r="O260" s="100" t="s">
        <v>468</v>
      </c>
      <c r="P260" s="100"/>
      <c r="Q260" s="100" t="s">
        <v>473</v>
      </c>
      <c r="R260" s="9" t="str">
        <f t="shared" ref="R260:R323" si="9">O260&amp;"_"&amp;P260&amp;"_"&amp;Q260</f>
        <v>31 電気業用設備__汽力発電設備</v>
      </c>
      <c r="S260" s="100">
        <v>15</v>
      </c>
      <c r="AC260" s="9">
        <v>9</v>
      </c>
      <c r="AD260" s="1">
        <v>13</v>
      </c>
    </row>
    <row r="261" spans="3:30">
      <c r="C261" s="100"/>
      <c r="D261" s="100"/>
      <c r="E261" s="100"/>
      <c r="F261" s="100"/>
      <c r="G261" s="100"/>
      <c r="H261" s="100"/>
      <c r="I261" s="100" t="s">
        <v>513</v>
      </c>
      <c r="J261" s="100"/>
      <c r="K261" s="9" t="str">
        <f t="shared" si="8"/>
        <v>55 前掲の機械及び装置以外のもの並びに前掲の区分によらないもの_</v>
      </c>
      <c r="L261" s="100" t="s">
        <v>514</v>
      </c>
      <c r="M261" s="100" t="s">
        <v>216</v>
      </c>
      <c r="N261" s="100" t="s">
        <v>227</v>
      </c>
      <c r="O261" s="100" t="s">
        <v>468</v>
      </c>
      <c r="P261" s="100"/>
      <c r="Q261" s="100" t="s">
        <v>475</v>
      </c>
      <c r="R261" s="9" t="str">
        <f t="shared" si="9"/>
        <v>31 電気業用設備__内燃力又はガスタービン発電設備</v>
      </c>
      <c r="S261" s="100">
        <v>15</v>
      </c>
      <c r="AC261" s="9">
        <v>9</v>
      </c>
      <c r="AD261" s="1">
        <v>14</v>
      </c>
    </row>
    <row r="262" spans="3:30">
      <c r="C262" s="100"/>
      <c r="D262" s="100"/>
      <c r="E262" s="100"/>
      <c r="F262" s="100"/>
      <c r="G262" s="100"/>
      <c r="H262" s="100"/>
      <c r="I262" s="9" t="s">
        <v>513</v>
      </c>
      <c r="J262" s="100"/>
      <c r="K262" s="9" t="str">
        <f t="shared" si="8"/>
        <v>55 前掲の機械及び装置以外のもの並びに前掲の区分によらないもの_</v>
      </c>
      <c r="L262" s="100" t="s">
        <v>515</v>
      </c>
      <c r="M262" s="100" t="s">
        <v>216</v>
      </c>
      <c r="N262" s="100" t="s">
        <v>227</v>
      </c>
      <c r="O262" s="100" t="s">
        <v>468</v>
      </c>
      <c r="P262" s="100"/>
      <c r="Q262" s="100" t="s">
        <v>476</v>
      </c>
      <c r="R262" s="9" t="str">
        <f t="shared" si="9"/>
        <v>31 電気業用設備__送電又は電気業用変電若しくは配電設備　需要者用計器</v>
      </c>
      <c r="S262" s="100">
        <v>15</v>
      </c>
      <c r="AC262" s="9">
        <v>9</v>
      </c>
      <c r="AD262" s="1">
        <v>15</v>
      </c>
    </row>
    <row r="263" spans="3:30">
      <c r="C263" s="100"/>
      <c r="D263" s="100"/>
      <c r="E263" s="100"/>
      <c r="F263" s="100"/>
      <c r="G263" s="100"/>
      <c r="H263" s="100"/>
      <c r="I263" s="9" t="s">
        <v>513</v>
      </c>
      <c r="J263" s="100"/>
      <c r="K263" s="9" t="str">
        <f t="shared" si="8"/>
        <v>55 前掲の機械及び装置以外のもの並びに前掲の区分によらないもの_</v>
      </c>
      <c r="L263" s="100" t="s">
        <v>480</v>
      </c>
      <c r="M263" s="100" t="s">
        <v>216</v>
      </c>
      <c r="N263" s="100" t="s">
        <v>227</v>
      </c>
      <c r="O263" s="100" t="s">
        <v>468</v>
      </c>
      <c r="P263" s="100"/>
      <c r="Q263" s="100" t="s">
        <v>477</v>
      </c>
      <c r="R263" s="9" t="str">
        <f t="shared" si="9"/>
        <v>31 電気業用設備__送電又は電気業用変電若しくは配電設備　柱上変圧器</v>
      </c>
      <c r="S263" s="100">
        <v>18</v>
      </c>
      <c r="AC263" s="9">
        <v>9</v>
      </c>
      <c r="AD263" s="1">
        <v>16</v>
      </c>
    </row>
    <row r="264" spans="3:30">
      <c r="C264" s="100"/>
      <c r="D264" s="100"/>
      <c r="E264" s="100"/>
      <c r="F264" s="100"/>
      <c r="G264" s="100"/>
      <c r="H264" s="100"/>
      <c r="I264" s="9" t="s">
        <v>513</v>
      </c>
      <c r="J264" s="100"/>
      <c r="K264" s="9" t="str">
        <f t="shared" si="8"/>
        <v>55 前掲の機械及び装置以外のもの並びに前掲の区分によらないもの_</v>
      </c>
      <c r="L264" s="100" t="s">
        <v>481</v>
      </c>
      <c r="M264" s="100" t="s">
        <v>216</v>
      </c>
      <c r="N264" s="100" t="s">
        <v>227</v>
      </c>
      <c r="O264" s="100" t="s">
        <v>468</v>
      </c>
      <c r="P264" s="100"/>
      <c r="Q264" s="100" t="s">
        <v>478</v>
      </c>
      <c r="R264" s="9" t="str">
        <f t="shared" si="9"/>
        <v>31 電気業用設備__送電又は電気業用変電若しくは配電設備　その他の設備</v>
      </c>
      <c r="S264" s="100">
        <v>22</v>
      </c>
      <c r="AC264" s="9">
        <v>9</v>
      </c>
      <c r="AD264" s="1">
        <v>17</v>
      </c>
    </row>
    <row r="265" spans="3:30">
      <c r="C265" s="100"/>
      <c r="D265" s="100"/>
      <c r="E265" s="100"/>
      <c r="F265" s="100"/>
      <c r="G265" s="100"/>
      <c r="H265" s="100"/>
      <c r="I265" s="100" t="s">
        <v>516</v>
      </c>
      <c r="J265" s="100"/>
      <c r="K265" s="9" t="str">
        <f t="shared" si="8"/>
        <v>別表第六　機械及び装置／開発研究用減価償却資産_</v>
      </c>
      <c r="L265" s="100" t="s">
        <v>517</v>
      </c>
      <c r="M265" s="100" t="s">
        <v>216</v>
      </c>
      <c r="N265" s="100" t="s">
        <v>227</v>
      </c>
      <c r="O265" s="100" t="s">
        <v>468</v>
      </c>
      <c r="P265" s="100"/>
      <c r="Q265" s="100" t="s">
        <v>479</v>
      </c>
      <c r="R265" s="9" t="str">
        <f t="shared" si="9"/>
        <v>31 電気業用設備__鉄道又は軌道業用変電設備</v>
      </c>
      <c r="S265" s="100">
        <v>15</v>
      </c>
      <c r="AC265" s="9">
        <v>9</v>
      </c>
      <c r="AD265" s="1">
        <v>18</v>
      </c>
    </row>
    <row r="266" spans="3:30">
      <c r="C266" s="100"/>
      <c r="D266" s="100"/>
      <c r="E266" s="100"/>
      <c r="F266" s="100"/>
      <c r="G266" s="100"/>
      <c r="H266" s="100"/>
      <c r="I266" s="9" t="s">
        <v>516</v>
      </c>
      <c r="J266" s="100"/>
      <c r="K266" s="9" t="str">
        <f t="shared" si="8"/>
        <v>別表第六　機械及び装置／開発研究用減価償却資産_</v>
      </c>
      <c r="L266" s="100" t="s">
        <v>296</v>
      </c>
      <c r="M266" s="100" t="s">
        <v>216</v>
      </c>
      <c r="N266" s="100" t="s">
        <v>227</v>
      </c>
      <c r="O266" s="100" t="s">
        <v>468</v>
      </c>
      <c r="P266" s="100"/>
      <c r="Q266" s="100" t="s">
        <v>480</v>
      </c>
      <c r="R266" s="9" t="str">
        <f t="shared" si="9"/>
        <v>31 電気業用設備__その他の設備　主として金属製のもの</v>
      </c>
      <c r="S266" s="100">
        <v>17</v>
      </c>
      <c r="AC266" s="9">
        <v>9</v>
      </c>
      <c r="AD266" s="1">
        <v>19</v>
      </c>
    </row>
    <row r="267" spans="3:30">
      <c r="C267" s="100"/>
      <c r="D267" s="100"/>
      <c r="E267" s="100"/>
      <c r="F267" s="100"/>
      <c r="G267" s="100"/>
      <c r="H267" s="100"/>
      <c r="I267" s="100" t="s">
        <v>518</v>
      </c>
      <c r="J267" s="100"/>
      <c r="K267" s="9" t="str">
        <f t="shared" si="8"/>
        <v>ソフトウエア_</v>
      </c>
      <c r="L267" s="100" t="s">
        <v>519</v>
      </c>
      <c r="M267" s="100" t="s">
        <v>216</v>
      </c>
      <c r="N267" s="100" t="s">
        <v>227</v>
      </c>
      <c r="O267" s="100" t="s">
        <v>468</v>
      </c>
      <c r="P267" s="100"/>
      <c r="Q267" s="100" t="s">
        <v>481</v>
      </c>
      <c r="R267" s="9" t="str">
        <f t="shared" si="9"/>
        <v>31 電気業用設備__その他の設備　その他のもの</v>
      </c>
      <c r="S267" s="100">
        <v>8</v>
      </c>
      <c r="AC267" s="9">
        <v>9</v>
      </c>
      <c r="AD267" s="1">
        <v>20</v>
      </c>
    </row>
    <row r="268" spans="3:30">
      <c r="C268" s="100"/>
      <c r="D268" s="100"/>
      <c r="E268" s="100"/>
      <c r="F268" s="100"/>
      <c r="G268" s="100"/>
      <c r="H268" s="100"/>
      <c r="I268" s="9" t="s">
        <v>518</v>
      </c>
      <c r="J268" s="100"/>
      <c r="K268" s="9" t="str">
        <f t="shared" si="8"/>
        <v>ソフトウエア_</v>
      </c>
      <c r="L268" s="100" t="s">
        <v>296</v>
      </c>
      <c r="M268" s="100" t="s">
        <v>216</v>
      </c>
      <c r="N268" s="100" t="s">
        <v>227</v>
      </c>
      <c r="O268" s="100" t="s">
        <v>482</v>
      </c>
      <c r="P268" s="100"/>
      <c r="Q268" s="100" t="s">
        <v>483</v>
      </c>
      <c r="R268" s="9" t="str">
        <f t="shared" si="9"/>
        <v>32 ガス業用設備__製造用設備</v>
      </c>
      <c r="S268" s="100">
        <v>10</v>
      </c>
      <c r="AC268" s="9">
        <v>9</v>
      </c>
      <c r="AD268" s="1">
        <v>21</v>
      </c>
    </row>
    <row r="269" spans="3:30">
      <c r="C269" s="100"/>
      <c r="D269" s="100"/>
      <c r="E269" s="100"/>
      <c r="F269" s="100"/>
      <c r="G269" s="100"/>
      <c r="H269" s="100"/>
      <c r="I269" s="100" t="s">
        <v>520</v>
      </c>
      <c r="J269" s="100"/>
      <c r="K269" s="9" t="str">
        <f t="shared" si="8"/>
        <v>育成者権_</v>
      </c>
      <c r="L269" s="100" t="s">
        <v>521</v>
      </c>
      <c r="M269" s="100" t="s">
        <v>216</v>
      </c>
      <c r="N269" s="100" t="s">
        <v>227</v>
      </c>
      <c r="O269" s="100" t="s">
        <v>482</v>
      </c>
      <c r="P269" s="100"/>
      <c r="Q269" s="100" t="s">
        <v>485</v>
      </c>
      <c r="R269" s="9" t="str">
        <f t="shared" si="9"/>
        <v>32 ガス業用設備__供給用設備　鋳鉄製導管</v>
      </c>
      <c r="S269" s="100">
        <v>22</v>
      </c>
      <c r="AC269" s="9">
        <v>9</v>
      </c>
      <c r="AD269" s="1">
        <v>22</v>
      </c>
    </row>
    <row r="270" spans="3:30">
      <c r="C270" s="100"/>
      <c r="D270" s="100"/>
      <c r="E270" s="100"/>
      <c r="F270" s="100"/>
      <c r="G270" s="100"/>
      <c r="H270" s="100"/>
      <c r="I270" s="9" t="s">
        <v>520</v>
      </c>
      <c r="J270" s="100"/>
      <c r="K270" s="9" t="str">
        <f t="shared" si="8"/>
        <v>育成者権_</v>
      </c>
      <c r="L270" s="100" t="s">
        <v>271</v>
      </c>
      <c r="M270" s="100" t="s">
        <v>216</v>
      </c>
      <c r="N270" s="100" t="s">
        <v>227</v>
      </c>
      <c r="O270" s="100" t="s">
        <v>482</v>
      </c>
      <c r="P270" s="100"/>
      <c r="Q270" s="100" t="s">
        <v>486</v>
      </c>
      <c r="R270" s="9" t="str">
        <f t="shared" si="9"/>
        <v>32 ガス業用設備__供給用設備　鋳鉄製導管以外の導管</v>
      </c>
      <c r="S270" s="100">
        <v>13</v>
      </c>
      <c r="AC270" s="9">
        <v>9</v>
      </c>
      <c r="AD270" s="1">
        <v>23</v>
      </c>
    </row>
    <row r="271" spans="3:30">
      <c r="C271" s="100"/>
      <c r="D271" s="100"/>
      <c r="E271" s="100"/>
      <c r="F271" s="100"/>
      <c r="G271" s="100"/>
      <c r="H271" s="100"/>
      <c r="M271" s="100" t="s">
        <v>216</v>
      </c>
      <c r="N271" s="100" t="s">
        <v>227</v>
      </c>
      <c r="O271" s="100" t="s">
        <v>482</v>
      </c>
      <c r="P271" s="100"/>
      <c r="Q271" s="100" t="s">
        <v>487</v>
      </c>
      <c r="R271" s="9" t="str">
        <f t="shared" si="9"/>
        <v>32 ガス業用設備__供給用設備　需要者用計量器</v>
      </c>
      <c r="S271" s="100">
        <v>13</v>
      </c>
      <c r="AC271" s="9">
        <v>9</v>
      </c>
      <c r="AD271" s="1">
        <v>24</v>
      </c>
    </row>
    <row r="272" spans="3:30">
      <c r="C272" s="100"/>
      <c r="D272" s="100"/>
      <c r="E272" s="100"/>
      <c r="F272" s="100"/>
      <c r="G272" s="100"/>
      <c r="H272" s="100"/>
      <c r="M272" s="100" t="s">
        <v>216</v>
      </c>
      <c r="N272" s="100" t="s">
        <v>227</v>
      </c>
      <c r="O272" s="100" t="s">
        <v>482</v>
      </c>
      <c r="P272" s="100"/>
      <c r="Q272" s="100" t="s">
        <v>489</v>
      </c>
      <c r="R272" s="9" t="str">
        <f t="shared" si="9"/>
        <v>32 ガス業用設備__供給用設備　その他の設備</v>
      </c>
      <c r="S272" s="100">
        <v>15</v>
      </c>
      <c r="AC272" s="9">
        <v>9</v>
      </c>
      <c r="AD272" s="1">
        <v>25</v>
      </c>
    </row>
    <row r="273" spans="3:30">
      <c r="C273" s="100"/>
      <c r="D273" s="100"/>
      <c r="E273" s="100"/>
      <c r="F273" s="100"/>
      <c r="G273" s="100"/>
      <c r="H273" s="100"/>
      <c r="M273" s="100" t="s">
        <v>216</v>
      </c>
      <c r="N273" s="100" t="s">
        <v>227</v>
      </c>
      <c r="O273" s="100" t="s">
        <v>482</v>
      </c>
      <c r="P273" s="100"/>
      <c r="Q273" s="100" t="s">
        <v>480</v>
      </c>
      <c r="R273" s="9" t="str">
        <f t="shared" si="9"/>
        <v>32 ガス業用設備__その他の設備　主として金属製のもの</v>
      </c>
      <c r="S273" s="100">
        <v>17</v>
      </c>
      <c r="AC273" s="9">
        <v>9</v>
      </c>
      <c r="AD273" s="1">
        <v>26</v>
      </c>
    </row>
    <row r="274" spans="3:30">
      <c r="C274" s="100"/>
      <c r="D274" s="100"/>
      <c r="E274" s="100"/>
      <c r="F274" s="100"/>
      <c r="G274" s="100"/>
      <c r="H274" s="100"/>
      <c r="M274" s="100" t="s">
        <v>216</v>
      </c>
      <c r="N274" s="100" t="s">
        <v>227</v>
      </c>
      <c r="O274" s="100" t="s">
        <v>482</v>
      </c>
      <c r="P274" s="100"/>
      <c r="Q274" s="100" t="s">
        <v>481</v>
      </c>
      <c r="R274" s="9" t="str">
        <f t="shared" si="9"/>
        <v>32 ガス業用設備__その他の設備　その他のもの</v>
      </c>
      <c r="S274" s="100">
        <v>8</v>
      </c>
      <c r="AC274" s="9">
        <v>9</v>
      </c>
      <c r="AD274" s="1">
        <v>27</v>
      </c>
    </row>
    <row r="275" spans="3:30">
      <c r="C275" s="100"/>
      <c r="D275" s="100"/>
      <c r="E275" s="100"/>
      <c r="F275" s="100"/>
      <c r="G275" s="100"/>
      <c r="H275" s="100"/>
      <c r="M275" s="100" t="s">
        <v>216</v>
      </c>
      <c r="N275" s="100" t="s">
        <v>227</v>
      </c>
      <c r="O275" s="100" t="s">
        <v>522</v>
      </c>
      <c r="P275" s="100"/>
      <c r="Q275" s="100"/>
      <c r="R275" s="9" t="str">
        <f t="shared" si="9"/>
        <v>33 熱供給業用設備__</v>
      </c>
      <c r="S275" s="100">
        <v>17</v>
      </c>
      <c r="AC275" s="9">
        <v>9</v>
      </c>
      <c r="AD275" s="1">
        <v>28</v>
      </c>
    </row>
    <row r="276" spans="3:30">
      <c r="C276" s="100"/>
      <c r="D276" s="100"/>
      <c r="E276" s="100"/>
      <c r="F276" s="100"/>
      <c r="G276" s="100"/>
      <c r="H276" s="100"/>
      <c r="M276" s="100" t="s">
        <v>216</v>
      </c>
      <c r="N276" s="100" t="s">
        <v>227</v>
      </c>
      <c r="O276" s="100" t="s">
        <v>523</v>
      </c>
      <c r="P276" s="100"/>
      <c r="Q276" s="100"/>
      <c r="R276" s="9" t="str">
        <f t="shared" si="9"/>
        <v>34 水道業用設備__</v>
      </c>
      <c r="S276" s="100">
        <v>18</v>
      </c>
      <c r="AC276" s="9">
        <v>9</v>
      </c>
      <c r="AD276" s="1">
        <v>29</v>
      </c>
    </row>
    <row r="277" spans="3:30">
      <c r="C277" s="100"/>
      <c r="D277" s="100"/>
      <c r="E277" s="100"/>
      <c r="F277" s="100"/>
      <c r="G277" s="100"/>
      <c r="H277" s="100"/>
      <c r="M277" s="100" t="s">
        <v>216</v>
      </c>
      <c r="N277" s="100" t="s">
        <v>227</v>
      </c>
      <c r="O277" s="100" t="s">
        <v>524</v>
      </c>
      <c r="P277" s="100"/>
      <c r="Q277" s="100"/>
      <c r="R277" s="9" t="str">
        <f t="shared" si="9"/>
        <v>35 通信業用設備__</v>
      </c>
      <c r="S277" s="100">
        <v>9</v>
      </c>
      <c r="AC277" s="1">
        <v>10</v>
      </c>
      <c r="AD277" s="122" t="s">
        <v>161</v>
      </c>
    </row>
    <row r="278" spans="3:30">
      <c r="C278" s="100"/>
      <c r="D278" s="100"/>
      <c r="E278" s="100"/>
      <c r="F278" s="100"/>
      <c r="G278" s="100"/>
      <c r="H278" s="100"/>
      <c r="M278" s="100" t="s">
        <v>216</v>
      </c>
      <c r="N278" s="100" t="s">
        <v>227</v>
      </c>
      <c r="O278" s="100" t="s">
        <v>525</v>
      </c>
      <c r="P278" s="100"/>
      <c r="Q278" s="100"/>
      <c r="R278" s="9" t="str">
        <f t="shared" si="9"/>
        <v>36 放送業用設備__</v>
      </c>
      <c r="S278" s="100">
        <v>6</v>
      </c>
      <c r="AC278" s="9">
        <v>10</v>
      </c>
      <c r="AD278" s="1">
        <v>1</v>
      </c>
    </row>
    <row r="279" spans="3:30">
      <c r="C279" s="100"/>
      <c r="D279" s="100"/>
      <c r="E279" s="100"/>
      <c r="F279" s="100"/>
      <c r="G279" s="100"/>
      <c r="H279" s="100"/>
      <c r="M279" s="100" t="s">
        <v>216</v>
      </c>
      <c r="N279" s="100" t="s">
        <v>227</v>
      </c>
      <c r="O279" s="100" t="s">
        <v>526</v>
      </c>
      <c r="P279" s="100"/>
      <c r="Q279" s="100"/>
      <c r="R279" s="9" t="str">
        <f t="shared" si="9"/>
        <v>37 映像、音声又は文字情報制作業用設備__</v>
      </c>
      <c r="S279" s="100">
        <v>8</v>
      </c>
      <c r="AC279" s="9">
        <v>10</v>
      </c>
      <c r="AD279" s="1">
        <v>2</v>
      </c>
    </row>
    <row r="280" spans="3:30">
      <c r="C280" s="100"/>
      <c r="D280" s="100"/>
      <c r="E280" s="100"/>
      <c r="F280" s="100"/>
      <c r="G280" s="100"/>
      <c r="H280" s="100"/>
      <c r="M280" s="100" t="s">
        <v>216</v>
      </c>
      <c r="N280" s="100" t="s">
        <v>227</v>
      </c>
      <c r="O280" s="100" t="s">
        <v>490</v>
      </c>
      <c r="P280" s="100"/>
      <c r="Q280" s="100" t="s">
        <v>491</v>
      </c>
      <c r="R280" s="9" t="str">
        <f t="shared" si="9"/>
        <v>38 鉄道業用設備__自動改札装置</v>
      </c>
      <c r="S280" s="100">
        <v>5</v>
      </c>
      <c r="AC280" s="9">
        <v>10</v>
      </c>
      <c r="AD280" s="1">
        <v>3</v>
      </c>
    </row>
    <row r="281" spans="3:30">
      <c r="C281" s="100"/>
      <c r="D281" s="100"/>
      <c r="E281" s="100"/>
      <c r="F281" s="100"/>
      <c r="G281" s="100"/>
      <c r="H281" s="100"/>
      <c r="M281" s="100" t="s">
        <v>216</v>
      </c>
      <c r="N281" s="100" t="s">
        <v>227</v>
      </c>
      <c r="O281" s="100" t="s">
        <v>490</v>
      </c>
      <c r="P281" s="100"/>
      <c r="Q281" s="100" t="s">
        <v>431</v>
      </c>
      <c r="R281" s="9" t="str">
        <f t="shared" si="9"/>
        <v>38 鉄道業用設備__その他の設備</v>
      </c>
      <c r="S281" s="100">
        <v>12</v>
      </c>
      <c r="AC281" s="9">
        <v>10</v>
      </c>
      <c r="AD281" s="1">
        <v>4</v>
      </c>
    </row>
    <row r="282" spans="3:30">
      <c r="C282" s="100"/>
      <c r="D282" s="100"/>
      <c r="E282" s="100"/>
      <c r="F282" s="100"/>
      <c r="G282" s="100"/>
      <c r="H282" s="100"/>
      <c r="M282" s="100" t="s">
        <v>216</v>
      </c>
      <c r="N282" s="100" t="s">
        <v>227</v>
      </c>
      <c r="O282" s="100" t="s">
        <v>527</v>
      </c>
      <c r="P282" s="100"/>
      <c r="Q282" s="100"/>
      <c r="R282" s="9" t="str">
        <f t="shared" si="9"/>
        <v>39 道路貨物運送業用設備__</v>
      </c>
      <c r="S282" s="100">
        <v>12</v>
      </c>
      <c r="AC282" s="9">
        <v>10</v>
      </c>
      <c r="AD282" s="1">
        <v>5</v>
      </c>
    </row>
    <row r="283" spans="3:30">
      <c r="C283" s="100"/>
      <c r="D283" s="100"/>
      <c r="E283" s="100"/>
      <c r="F283" s="100"/>
      <c r="G283" s="100"/>
      <c r="H283" s="100"/>
      <c r="M283" s="100" t="s">
        <v>216</v>
      </c>
      <c r="N283" s="100" t="s">
        <v>227</v>
      </c>
      <c r="O283" s="100" t="s">
        <v>528</v>
      </c>
      <c r="P283" s="100"/>
      <c r="Q283" s="100"/>
      <c r="R283" s="9" t="str">
        <f t="shared" si="9"/>
        <v>40 倉庫業用設備__</v>
      </c>
      <c r="S283" s="100">
        <v>12</v>
      </c>
      <c r="AC283" s="9">
        <v>10</v>
      </c>
      <c r="AD283" s="1">
        <v>6</v>
      </c>
    </row>
    <row r="284" spans="3:30">
      <c r="C284" s="100"/>
      <c r="D284" s="100"/>
      <c r="E284" s="100"/>
      <c r="F284" s="100"/>
      <c r="G284" s="100"/>
      <c r="H284" s="100"/>
      <c r="M284" s="100" t="s">
        <v>216</v>
      </c>
      <c r="N284" s="100" t="s">
        <v>227</v>
      </c>
      <c r="O284" s="100" t="s">
        <v>529</v>
      </c>
      <c r="P284" s="100"/>
      <c r="Q284" s="100"/>
      <c r="R284" s="9" t="str">
        <f t="shared" si="9"/>
        <v>41 運輸に附帯するサービス業用設備__</v>
      </c>
      <c r="S284" s="100">
        <v>10</v>
      </c>
      <c r="AC284" s="9">
        <v>10</v>
      </c>
      <c r="AD284" s="1">
        <v>7</v>
      </c>
    </row>
    <row r="285" spans="3:30">
      <c r="C285" s="100"/>
      <c r="D285" s="100"/>
      <c r="E285" s="100"/>
      <c r="F285" s="100"/>
      <c r="G285" s="100"/>
      <c r="H285" s="100"/>
      <c r="M285" s="100" t="s">
        <v>216</v>
      </c>
      <c r="N285" s="100" t="s">
        <v>227</v>
      </c>
      <c r="O285" s="100" t="s">
        <v>530</v>
      </c>
      <c r="P285" s="100"/>
      <c r="Q285" s="100"/>
      <c r="R285" s="9" t="str">
        <f t="shared" si="9"/>
        <v>42 飲食料品卸売業用設備__</v>
      </c>
      <c r="S285" s="100">
        <v>10</v>
      </c>
      <c r="AC285" s="9">
        <v>10</v>
      </c>
      <c r="AD285" s="1">
        <v>8</v>
      </c>
    </row>
    <row r="286" spans="3:30">
      <c r="C286" s="100"/>
      <c r="D286" s="100"/>
      <c r="E286" s="100"/>
      <c r="F286" s="100"/>
      <c r="G286" s="100"/>
      <c r="H286" s="100"/>
      <c r="M286" s="100" t="s">
        <v>216</v>
      </c>
      <c r="N286" s="100" t="s">
        <v>227</v>
      </c>
      <c r="O286" s="100" t="s">
        <v>493</v>
      </c>
      <c r="P286" s="100"/>
      <c r="Q286" s="100" t="s">
        <v>494</v>
      </c>
      <c r="R286" s="9" t="str">
        <f t="shared" si="9"/>
        <v>43 建築材料、鉱物又は金属材料等卸売業用設備__石油又は液化石油ガス卸売用設備（貯そうを除く。）</v>
      </c>
      <c r="S286" s="100">
        <v>13</v>
      </c>
      <c r="AC286" s="9">
        <v>10</v>
      </c>
      <c r="AD286" s="1">
        <v>9</v>
      </c>
    </row>
    <row r="287" spans="3:30">
      <c r="C287" s="100"/>
      <c r="D287" s="100"/>
      <c r="E287" s="100"/>
      <c r="F287" s="100"/>
      <c r="G287" s="100"/>
      <c r="H287" s="100"/>
      <c r="M287" s="100" t="s">
        <v>216</v>
      </c>
      <c r="N287" s="100" t="s">
        <v>227</v>
      </c>
      <c r="O287" s="100" t="s">
        <v>493</v>
      </c>
      <c r="P287" s="100"/>
      <c r="Q287" s="100" t="s">
        <v>431</v>
      </c>
      <c r="R287" s="9" t="str">
        <f t="shared" si="9"/>
        <v>43 建築材料、鉱物又は金属材料等卸売業用設備__その他の設備</v>
      </c>
      <c r="S287" s="100">
        <v>8</v>
      </c>
      <c r="AC287" s="9">
        <v>10</v>
      </c>
      <c r="AD287" s="1">
        <v>10</v>
      </c>
    </row>
    <row r="288" spans="3:30">
      <c r="C288" s="100"/>
      <c r="D288" s="100"/>
      <c r="E288" s="100"/>
      <c r="F288" s="100"/>
      <c r="G288" s="100"/>
      <c r="H288" s="100"/>
      <c r="M288" s="100" t="s">
        <v>216</v>
      </c>
      <c r="N288" s="100" t="s">
        <v>227</v>
      </c>
      <c r="O288" s="100" t="s">
        <v>531</v>
      </c>
      <c r="P288" s="100"/>
      <c r="Q288" s="100"/>
      <c r="R288" s="9" t="str">
        <f t="shared" si="9"/>
        <v>44 飲食料品小売業用設備__</v>
      </c>
      <c r="S288" s="100">
        <v>9</v>
      </c>
      <c r="AC288" s="9">
        <v>10</v>
      </c>
      <c r="AD288" s="1">
        <v>11</v>
      </c>
    </row>
    <row r="289" spans="3:30">
      <c r="C289" s="100"/>
      <c r="D289" s="100"/>
      <c r="E289" s="100"/>
      <c r="F289" s="100"/>
      <c r="G289" s="100"/>
      <c r="H289" s="100"/>
      <c r="M289" s="100" t="s">
        <v>216</v>
      </c>
      <c r="N289" s="100" t="s">
        <v>227</v>
      </c>
      <c r="O289" s="100" t="s">
        <v>497</v>
      </c>
      <c r="P289" s="100"/>
      <c r="Q289" s="100" t="s">
        <v>498</v>
      </c>
      <c r="R289" s="9" t="str">
        <f t="shared" si="9"/>
        <v>45 その他の小売業用設備__ガソリン又は液化石油ガススタンド設備</v>
      </c>
      <c r="S289" s="100">
        <v>8</v>
      </c>
      <c r="AC289" s="9">
        <v>10</v>
      </c>
      <c r="AD289" s="1">
        <v>12</v>
      </c>
    </row>
    <row r="290" spans="3:30">
      <c r="C290" s="100"/>
      <c r="D290" s="100"/>
      <c r="E290" s="100"/>
      <c r="F290" s="100"/>
      <c r="G290" s="100"/>
      <c r="H290" s="100"/>
      <c r="M290" s="100" t="s">
        <v>216</v>
      </c>
      <c r="N290" s="100" t="s">
        <v>227</v>
      </c>
      <c r="O290" s="100" t="s">
        <v>497</v>
      </c>
      <c r="P290" s="100"/>
      <c r="Q290" s="100" t="s">
        <v>480</v>
      </c>
      <c r="R290" s="9" t="str">
        <f t="shared" si="9"/>
        <v>45 その他の小売業用設備__その他の設備　主として金属製のもの</v>
      </c>
      <c r="S290" s="100">
        <v>17</v>
      </c>
      <c r="AC290" s="9">
        <v>10</v>
      </c>
      <c r="AD290" s="1">
        <v>13</v>
      </c>
    </row>
    <row r="291" spans="3:30">
      <c r="C291" s="100"/>
      <c r="D291" s="100"/>
      <c r="E291" s="100"/>
      <c r="F291" s="100"/>
      <c r="G291" s="100"/>
      <c r="H291" s="100"/>
      <c r="M291" s="100" t="s">
        <v>216</v>
      </c>
      <c r="N291" s="100" t="s">
        <v>227</v>
      </c>
      <c r="O291" s="100" t="s">
        <v>497</v>
      </c>
      <c r="P291" s="100"/>
      <c r="Q291" s="100" t="s">
        <v>481</v>
      </c>
      <c r="R291" s="9" t="str">
        <f t="shared" si="9"/>
        <v>45 その他の小売業用設備__その他の設備　その他のもの</v>
      </c>
      <c r="S291" s="100">
        <v>8</v>
      </c>
      <c r="AC291" s="9">
        <v>10</v>
      </c>
      <c r="AD291" s="1">
        <v>14</v>
      </c>
    </row>
    <row r="292" spans="3:30">
      <c r="C292" s="100"/>
      <c r="D292" s="100"/>
      <c r="E292" s="100"/>
      <c r="F292" s="100"/>
      <c r="G292" s="100"/>
      <c r="H292" s="100"/>
      <c r="M292" s="100" t="s">
        <v>216</v>
      </c>
      <c r="N292" s="100" t="s">
        <v>227</v>
      </c>
      <c r="O292" s="100" t="s">
        <v>502</v>
      </c>
      <c r="P292" s="100"/>
      <c r="Q292" s="100" t="s">
        <v>503</v>
      </c>
      <c r="R292" s="9" t="str">
        <f t="shared" si="9"/>
        <v>46 技術サービス業用設備（他の号に掲げるものを除く。）__計量証明業用設備</v>
      </c>
      <c r="S292" s="100">
        <v>8</v>
      </c>
      <c r="AC292" s="9">
        <v>10</v>
      </c>
      <c r="AD292" s="1">
        <v>15</v>
      </c>
    </row>
    <row r="293" spans="3:30">
      <c r="C293" s="100"/>
      <c r="D293" s="100"/>
      <c r="E293" s="100"/>
      <c r="F293" s="100"/>
      <c r="G293" s="100"/>
      <c r="H293" s="100"/>
      <c r="M293" s="100" t="s">
        <v>216</v>
      </c>
      <c r="N293" s="100" t="s">
        <v>227</v>
      </c>
      <c r="O293" s="100" t="s">
        <v>502</v>
      </c>
      <c r="P293" s="100"/>
      <c r="Q293" s="100" t="s">
        <v>431</v>
      </c>
      <c r="R293" s="9" t="str">
        <f t="shared" si="9"/>
        <v>46 技術サービス業用設備（他の号に掲げるものを除く。）__その他の設備</v>
      </c>
      <c r="S293" s="100">
        <v>14</v>
      </c>
      <c r="AC293" s="9">
        <v>10</v>
      </c>
      <c r="AD293" s="1">
        <v>16</v>
      </c>
    </row>
    <row r="294" spans="3:30">
      <c r="C294" s="100"/>
      <c r="D294" s="100"/>
      <c r="E294" s="100"/>
      <c r="F294" s="100"/>
      <c r="G294" s="100"/>
      <c r="H294" s="100"/>
      <c r="M294" s="100" t="s">
        <v>216</v>
      </c>
      <c r="N294" s="100" t="s">
        <v>227</v>
      </c>
      <c r="O294" s="100" t="s">
        <v>532</v>
      </c>
      <c r="P294" s="100"/>
      <c r="Q294" s="100"/>
      <c r="R294" s="9" t="str">
        <f t="shared" si="9"/>
        <v>47 宿泊業用設備__</v>
      </c>
      <c r="S294" s="100">
        <v>10</v>
      </c>
      <c r="AC294" s="9">
        <v>10</v>
      </c>
      <c r="AD294" s="1">
        <v>17</v>
      </c>
    </row>
    <row r="295" spans="3:30">
      <c r="C295" s="100"/>
      <c r="D295" s="100"/>
      <c r="E295" s="100"/>
      <c r="F295" s="100"/>
      <c r="G295" s="100"/>
      <c r="H295" s="100"/>
      <c r="M295" s="100" t="s">
        <v>216</v>
      </c>
      <c r="N295" s="100" t="s">
        <v>227</v>
      </c>
      <c r="O295" s="100" t="s">
        <v>533</v>
      </c>
      <c r="P295" s="100"/>
      <c r="Q295" s="100"/>
      <c r="R295" s="9" t="str">
        <f t="shared" si="9"/>
        <v>48 飲食店業用設備__</v>
      </c>
      <c r="S295" s="100">
        <v>8</v>
      </c>
      <c r="AC295" s="9">
        <v>10</v>
      </c>
      <c r="AD295" s="1">
        <v>18</v>
      </c>
    </row>
    <row r="296" spans="3:30">
      <c r="C296" s="100"/>
      <c r="D296" s="100"/>
      <c r="E296" s="100"/>
      <c r="F296" s="100"/>
      <c r="G296" s="100"/>
      <c r="H296" s="100"/>
      <c r="M296" s="100" t="s">
        <v>216</v>
      </c>
      <c r="N296" s="100" t="s">
        <v>227</v>
      </c>
      <c r="O296" s="100" t="s">
        <v>534</v>
      </c>
      <c r="P296" s="100"/>
      <c r="Q296" s="100"/>
      <c r="R296" s="9" t="str">
        <f t="shared" si="9"/>
        <v>49 洗濯業、理容業、美容業又は浴場業用設備__</v>
      </c>
      <c r="S296" s="100">
        <v>13</v>
      </c>
      <c r="AC296" s="9">
        <v>10</v>
      </c>
      <c r="AD296" s="1">
        <v>19</v>
      </c>
    </row>
    <row r="297" spans="3:30">
      <c r="C297" s="100"/>
      <c r="D297" s="100"/>
      <c r="E297" s="100"/>
      <c r="F297" s="100"/>
      <c r="G297" s="100"/>
      <c r="H297" s="100"/>
      <c r="M297" s="100" t="s">
        <v>216</v>
      </c>
      <c r="N297" s="100" t="s">
        <v>227</v>
      </c>
      <c r="O297" s="100" t="s">
        <v>535</v>
      </c>
      <c r="P297" s="100"/>
      <c r="Q297" s="100"/>
      <c r="R297" s="9" t="str">
        <f t="shared" si="9"/>
        <v>50 その他の生活関連サービス業用設備__</v>
      </c>
      <c r="S297" s="100">
        <v>6</v>
      </c>
      <c r="AC297" s="9">
        <v>10</v>
      </c>
      <c r="AD297" s="1">
        <v>20</v>
      </c>
    </row>
    <row r="298" spans="3:30">
      <c r="C298" s="100"/>
      <c r="D298" s="100"/>
      <c r="E298" s="100"/>
      <c r="F298" s="100"/>
      <c r="G298" s="100"/>
      <c r="H298" s="100"/>
      <c r="M298" s="100" t="s">
        <v>216</v>
      </c>
      <c r="N298" s="100" t="s">
        <v>227</v>
      </c>
      <c r="O298" s="100" t="s">
        <v>506</v>
      </c>
      <c r="P298" s="100"/>
      <c r="Q298" s="100" t="s">
        <v>507</v>
      </c>
      <c r="R298" s="9" t="str">
        <f t="shared" si="9"/>
        <v>51 娯楽業用設備__映画館又は劇場用設備</v>
      </c>
      <c r="S298" s="100">
        <v>11</v>
      </c>
      <c r="AC298" s="9">
        <v>10</v>
      </c>
      <c r="AD298" s="1">
        <v>21</v>
      </c>
    </row>
    <row r="299" spans="3:30">
      <c r="C299" s="100"/>
      <c r="D299" s="100"/>
      <c r="E299" s="100"/>
      <c r="F299" s="100"/>
      <c r="G299" s="100"/>
      <c r="H299" s="100"/>
      <c r="M299" s="100" t="s">
        <v>216</v>
      </c>
      <c r="N299" s="100" t="s">
        <v>227</v>
      </c>
      <c r="O299" s="100" t="s">
        <v>506</v>
      </c>
      <c r="P299" s="100"/>
      <c r="Q299" s="100" t="s">
        <v>508</v>
      </c>
      <c r="R299" s="9" t="str">
        <f t="shared" si="9"/>
        <v>51 娯楽業用設備__遊園地用設備</v>
      </c>
      <c r="S299" s="100">
        <v>7</v>
      </c>
      <c r="AC299" s="9">
        <v>10</v>
      </c>
      <c r="AD299" s="1">
        <v>22</v>
      </c>
    </row>
    <row r="300" spans="3:30">
      <c r="C300" s="100"/>
      <c r="D300" s="100"/>
      <c r="E300" s="100"/>
      <c r="F300" s="100"/>
      <c r="G300" s="100"/>
      <c r="H300" s="100"/>
      <c r="M300" s="100" t="s">
        <v>216</v>
      </c>
      <c r="N300" s="100" t="s">
        <v>227</v>
      </c>
      <c r="O300" s="100" t="s">
        <v>506</v>
      </c>
      <c r="P300" s="100"/>
      <c r="Q300" s="100" t="s">
        <v>509</v>
      </c>
      <c r="R300" s="9" t="str">
        <f t="shared" si="9"/>
        <v>51 娯楽業用設備__ボウリング場用設備</v>
      </c>
      <c r="S300" s="100">
        <v>13</v>
      </c>
      <c r="AC300" s="9">
        <v>10</v>
      </c>
      <c r="AD300" s="1">
        <v>23</v>
      </c>
    </row>
    <row r="301" spans="3:30">
      <c r="C301" s="100"/>
      <c r="D301" s="100"/>
      <c r="E301" s="100"/>
      <c r="F301" s="100"/>
      <c r="G301" s="100"/>
      <c r="H301" s="100"/>
      <c r="M301" s="100" t="s">
        <v>216</v>
      </c>
      <c r="N301" s="100" t="s">
        <v>227</v>
      </c>
      <c r="O301" s="100" t="s">
        <v>506</v>
      </c>
      <c r="P301" s="100"/>
      <c r="Q301" s="100" t="s">
        <v>480</v>
      </c>
      <c r="R301" s="9" t="str">
        <f t="shared" si="9"/>
        <v>51 娯楽業用設備__その他の設備　主として金属製のもの</v>
      </c>
      <c r="S301" s="100">
        <v>17</v>
      </c>
      <c r="AC301" s="9">
        <v>10</v>
      </c>
      <c r="AD301" s="1">
        <v>24</v>
      </c>
    </row>
    <row r="302" spans="3:30">
      <c r="C302" s="100"/>
      <c r="D302" s="100"/>
      <c r="E302" s="100"/>
      <c r="F302" s="100"/>
      <c r="G302" s="100"/>
      <c r="H302" s="100"/>
      <c r="M302" s="100" t="s">
        <v>216</v>
      </c>
      <c r="N302" s="100" t="s">
        <v>227</v>
      </c>
      <c r="O302" s="100" t="s">
        <v>506</v>
      </c>
      <c r="P302" s="100"/>
      <c r="Q302" s="100" t="s">
        <v>481</v>
      </c>
      <c r="R302" s="9" t="str">
        <f t="shared" si="9"/>
        <v>51 娯楽業用設備__その他の設備　その他のもの</v>
      </c>
      <c r="S302" s="100">
        <v>8</v>
      </c>
      <c r="AC302" s="9">
        <v>10</v>
      </c>
      <c r="AD302" s="1">
        <v>25</v>
      </c>
    </row>
    <row r="303" spans="3:30">
      <c r="C303" s="100"/>
      <c r="D303" s="100"/>
      <c r="E303" s="100"/>
      <c r="F303" s="100"/>
      <c r="G303" s="100"/>
      <c r="H303" s="100"/>
      <c r="M303" s="100" t="s">
        <v>216</v>
      </c>
      <c r="N303" s="100" t="s">
        <v>227</v>
      </c>
      <c r="O303" s="100" t="s">
        <v>511</v>
      </c>
      <c r="P303" s="100"/>
      <c r="Q303" s="100" t="s">
        <v>512</v>
      </c>
      <c r="R303" s="9" t="str">
        <f t="shared" si="9"/>
        <v>52 教育業（学校教育業を除く。）又は学習支援業用設備__教習用運転シミュレータ設備</v>
      </c>
      <c r="S303" s="100">
        <v>5</v>
      </c>
      <c r="AC303" s="9">
        <v>10</v>
      </c>
      <c r="AD303" s="1">
        <v>26</v>
      </c>
    </row>
    <row r="304" spans="3:30">
      <c r="C304" s="100"/>
      <c r="D304" s="100"/>
      <c r="E304" s="100"/>
      <c r="F304" s="100"/>
      <c r="G304" s="100"/>
      <c r="H304" s="100"/>
      <c r="M304" s="100" t="s">
        <v>216</v>
      </c>
      <c r="N304" s="100" t="s">
        <v>227</v>
      </c>
      <c r="O304" s="100" t="s">
        <v>511</v>
      </c>
      <c r="P304" s="100"/>
      <c r="Q304" s="100" t="s">
        <v>480</v>
      </c>
      <c r="R304" s="9" t="str">
        <f t="shared" si="9"/>
        <v>52 教育業（学校教育業を除く。）又は学習支援業用設備__その他の設備　主として金属製のもの</v>
      </c>
      <c r="S304" s="100">
        <v>17</v>
      </c>
      <c r="AC304" s="9">
        <v>10</v>
      </c>
      <c r="AD304" s="1">
        <v>27</v>
      </c>
    </row>
    <row r="305" spans="3:30">
      <c r="C305" s="100"/>
      <c r="D305" s="100"/>
      <c r="E305" s="100"/>
      <c r="F305" s="100"/>
      <c r="G305" s="100"/>
      <c r="H305" s="100"/>
      <c r="M305" s="100" t="s">
        <v>216</v>
      </c>
      <c r="N305" s="100" t="s">
        <v>227</v>
      </c>
      <c r="O305" s="100" t="s">
        <v>511</v>
      </c>
      <c r="P305" s="100"/>
      <c r="Q305" s="100" t="s">
        <v>481</v>
      </c>
      <c r="R305" s="9" t="str">
        <f t="shared" si="9"/>
        <v>52 教育業（学校教育業を除く。）又は学習支援業用設備__その他の設備　その他のもの</v>
      </c>
      <c r="S305" s="100">
        <v>8</v>
      </c>
      <c r="AC305" s="9">
        <v>10</v>
      </c>
      <c r="AD305" s="1">
        <v>28</v>
      </c>
    </row>
    <row r="306" spans="3:30">
      <c r="C306" s="100"/>
      <c r="D306" s="100"/>
      <c r="E306" s="100"/>
      <c r="F306" s="100"/>
      <c r="G306" s="100"/>
      <c r="H306" s="100"/>
      <c r="M306" s="100" t="s">
        <v>216</v>
      </c>
      <c r="N306" s="100" t="s">
        <v>227</v>
      </c>
      <c r="O306" s="100" t="s">
        <v>536</v>
      </c>
      <c r="P306" s="100"/>
      <c r="Q306" s="100"/>
      <c r="R306" s="9" t="str">
        <f t="shared" si="9"/>
        <v>53 自動車整備業用設備__</v>
      </c>
      <c r="S306" s="100">
        <v>15</v>
      </c>
      <c r="AC306" s="9">
        <v>10</v>
      </c>
      <c r="AD306" s="1">
        <v>29</v>
      </c>
    </row>
    <row r="307" spans="3:30">
      <c r="C307" s="100"/>
      <c r="D307" s="100"/>
      <c r="E307" s="100"/>
      <c r="F307" s="100"/>
      <c r="G307" s="100"/>
      <c r="H307" s="100"/>
      <c r="M307" s="100" t="s">
        <v>216</v>
      </c>
      <c r="N307" s="100" t="s">
        <v>227</v>
      </c>
      <c r="O307" s="100" t="s">
        <v>537</v>
      </c>
      <c r="P307" s="100"/>
      <c r="Q307" s="100"/>
      <c r="R307" s="9" t="str">
        <f t="shared" si="9"/>
        <v>54 その他のサービス業用設備__</v>
      </c>
      <c r="S307" s="100">
        <v>12</v>
      </c>
      <c r="AC307" s="9">
        <v>10</v>
      </c>
      <c r="AD307" s="1">
        <v>30</v>
      </c>
    </row>
    <row r="308" spans="3:30">
      <c r="C308" s="100"/>
      <c r="D308" s="100"/>
      <c r="E308" s="100"/>
      <c r="F308" s="100"/>
      <c r="G308" s="100"/>
      <c r="H308" s="100"/>
      <c r="M308" s="100" t="s">
        <v>216</v>
      </c>
      <c r="N308" s="100" t="s">
        <v>227</v>
      </c>
      <c r="O308" s="100" t="s">
        <v>513</v>
      </c>
      <c r="P308" s="100"/>
      <c r="Q308" s="100" t="s">
        <v>514</v>
      </c>
      <c r="R308" s="9" t="str">
        <f t="shared" si="9"/>
        <v>55 前掲の機械及び装置以外のもの並びに前掲の区分によらないもの__機械式駐車設備</v>
      </c>
      <c r="S308" s="100">
        <v>10</v>
      </c>
      <c r="AC308" s="1">
        <v>11</v>
      </c>
      <c r="AD308" s="122" t="s">
        <v>161</v>
      </c>
    </row>
    <row r="309" spans="3:30">
      <c r="C309" s="100"/>
      <c r="D309" s="100"/>
      <c r="E309" s="100"/>
      <c r="F309" s="100"/>
      <c r="G309" s="100"/>
      <c r="H309" s="100"/>
      <c r="M309" s="100" t="s">
        <v>216</v>
      </c>
      <c r="N309" s="100" t="s">
        <v>227</v>
      </c>
      <c r="O309" s="100" t="s">
        <v>513</v>
      </c>
      <c r="P309" s="100"/>
      <c r="Q309" s="100" t="s">
        <v>515</v>
      </c>
      <c r="R309" s="9" t="str">
        <f t="shared" si="9"/>
        <v>55 前掲の機械及び装置以外のもの並びに前掲の区分によらないもの__ブルドーザー、パワーショベルその他の自走式作業用機械設備</v>
      </c>
      <c r="S309" s="100">
        <v>8</v>
      </c>
      <c r="AC309" s="9">
        <v>11</v>
      </c>
      <c r="AD309" s="1">
        <v>1</v>
      </c>
    </row>
    <row r="310" spans="3:30">
      <c r="C310" s="100"/>
      <c r="D310" s="100"/>
      <c r="E310" s="100"/>
      <c r="F310" s="100"/>
      <c r="G310" s="100"/>
      <c r="H310" s="100"/>
      <c r="M310" s="100" t="s">
        <v>216</v>
      </c>
      <c r="N310" s="100" t="s">
        <v>227</v>
      </c>
      <c r="O310" s="100" t="s">
        <v>513</v>
      </c>
      <c r="P310" s="100"/>
      <c r="Q310" s="100" t="s">
        <v>480</v>
      </c>
      <c r="R310" s="9" t="str">
        <f t="shared" si="9"/>
        <v>55 前掲の機械及び装置以外のもの並びに前掲の区分によらないもの__その他の設備　主として金属製のもの</v>
      </c>
      <c r="S310" s="100">
        <v>17</v>
      </c>
      <c r="AC310" s="9">
        <v>11</v>
      </c>
      <c r="AD310" s="1">
        <v>2</v>
      </c>
    </row>
    <row r="311" spans="3:30">
      <c r="C311" s="100"/>
      <c r="D311" s="100"/>
      <c r="E311" s="100"/>
      <c r="F311" s="100"/>
      <c r="G311" s="100"/>
      <c r="H311" s="100"/>
      <c r="M311" s="100" t="s">
        <v>216</v>
      </c>
      <c r="N311" s="100" t="s">
        <v>227</v>
      </c>
      <c r="O311" s="100" t="s">
        <v>513</v>
      </c>
      <c r="P311" s="100"/>
      <c r="Q311" s="100" t="s">
        <v>481</v>
      </c>
      <c r="R311" s="9" t="str">
        <f t="shared" si="9"/>
        <v>55 前掲の機械及び装置以外のもの並びに前掲の区分によらないもの__その他の設備　その他のもの</v>
      </c>
      <c r="S311" s="100">
        <v>8</v>
      </c>
      <c r="AC311" s="9">
        <v>11</v>
      </c>
      <c r="AD311" s="1">
        <v>3</v>
      </c>
    </row>
    <row r="312" spans="3:30">
      <c r="C312" s="100"/>
      <c r="D312" s="100"/>
      <c r="E312" s="100"/>
      <c r="F312" s="100"/>
      <c r="G312" s="100"/>
      <c r="H312" s="100"/>
      <c r="M312" s="100" t="s">
        <v>216</v>
      </c>
      <c r="N312" s="100" t="s">
        <v>227</v>
      </c>
      <c r="O312" s="100" t="s">
        <v>538</v>
      </c>
      <c r="P312" s="100"/>
      <c r="Q312" s="100"/>
      <c r="R312" s="9" t="str">
        <f t="shared" si="9"/>
        <v>別表第五　機械及び装置／公害防止用減価償却資産__</v>
      </c>
      <c r="S312" s="100">
        <v>5</v>
      </c>
      <c r="AC312" s="9">
        <v>11</v>
      </c>
      <c r="AD312" s="1">
        <v>4</v>
      </c>
    </row>
    <row r="313" spans="3:30">
      <c r="C313" s="100"/>
      <c r="D313" s="100"/>
      <c r="E313" s="100"/>
      <c r="F313" s="100"/>
      <c r="G313" s="100"/>
      <c r="H313" s="100"/>
      <c r="M313" s="100" t="s">
        <v>216</v>
      </c>
      <c r="N313" s="100" t="s">
        <v>227</v>
      </c>
      <c r="O313" s="100" t="s">
        <v>516</v>
      </c>
      <c r="P313" s="100"/>
      <c r="Q313" s="100" t="s">
        <v>517</v>
      </c>
      <c r="R313" s="9" t="str">
        <f t="shared" si="9"/>
        <v>別表第六　機械及び装置／開発研究用減価償却資産__汎用ポンプ、汎用モーター、汎用金属工作機械、汎用金属加工機械その他これらに類するもの</v>
      </c>
      <c r="S313" s="100">
        <v>7</v>
      </c>
      <c r="AC313" s="9">
        <v>11</v>
      </c>
      <c r="AD313" s="1">
        <v>5</v>
      </c>
    </row>
    <row r="314" spans="3:30">
      <c r="C314" s="100"/>
      <c r="D314" s="100"/>
      <c r="E314" s="100"/>
      <c r="F314" s="100"/>
      <c r="G314" s="100"/>
      <c r="H314" s="100"/>
      <c r="M314" s="100" t="s">
        <v>216</v>
      </c>
      <c r="N314" s="100" t="s">
        <v>227</v>
      </c>
      <c r="O314" s="100" t="s">
        <v>516</v>
      </c>
      <c r="P314" s="100"/>
      <c r="Q314" s="100" t="s">
        <v>296</v>
      </c>
      <c r="R314" s="9" t="str">
        <f t="shared" si="9"/>
        <v>別表第六　機械及び装置／開発研究用減価償却資産__その他のもの</v>
      </c>
      <c r="S314" s="100">
        <v>4</v>
      </c>
      <c r="AC314" s="9">
        <v>11</v>
      </c>
      <c r="AD314" s="1">
        <v>6</v>
      </c>
    </row>
    <row r="315" spans="3:30">
      <c r="D315" s="100"/>
      <c r="E315" s="100"/>
      <c r="F315" s="100"/>
      <c r="G315" s="100"/>
      <c r="H315" s="100"/>
      <c r="M315" s="100" t="s">
        <v>216</v>
      </c>
      <c r="N315" s="1" t="s">
        <v>232</v>
      </c>
      <c r="O315" s="100" t="s">
        <v>518</v>
      </c>
      <c r="P315" s="100"/>
      <c r="Q315" s="100" t="s">
        <v>519</v>
      </c>
      <c r="R315" s="9" t="str">
        <f t="shared" si="9"/>
        <v>ソフトウエア__複写して販売するための原本</v>
      </c>
      <c r="S315" s="100">
        <v>3</v>
      </c>
      <c r="AC315" s="9">
        <v>11</v>
      </c>
      <c r="AD315" s="1">
        <v>11</v>
      </c>
    </row>
    <row r="316" spans="3:30">
      <c r="D316" s="100"/>
      <c r="E316" s="100"/>
      <c r="F316" s="100"/>
      <c r="G316" s="100"/>
      <c r="H316" s="100"/>
      <c r="M316" s="100" t="s">
        <v>216</v>
      </c>
      <c r="N316" s="1" t="s">
        <v>232</v>
      </c>
      <c r="O316" s="100" t="s">
        <v>518</v>
      </c>
      <c r="P316" s="100"/>
      <c r="Q316" s="100" t="s">
        <v>296</v>
      </c>
      <c r="R316" s="9" t="str">
        <f t="shared" si="9"/>
        <v>ソフトウエア__その他のもの</v>
      </c>
      <c r="S316" s="100">
        <v>5</v>
      </c>
      <c r="AC316" s="9">
        <v>11</v>
      </c>
      <c r="AD316" s="1">
        <v>12</v>
      </c>
    </row>
    <row r="317" spans="3:30">
      <c r="D317" s="100"/>
      <c r="E317" s="100"/>
      <c r="F317" s="100"/>
      <c r="G317" s="100"/>
      <c r="H317" s="100"/>
      <c r="M317" s="100" t="s">
        <v>216</v>
      </c>
      <c r="N317" s="1" t="s">
        <v>232</v>
      </c>
      <c r="O317" s="100" t="s">
        <v>539</v>
      </c>
      <c r="P317" s="100"/>
      <c r="Q317" s="100"/>
      <c r="R317" s="9" t="str">
        <f t="shared" si="9"/>
        <v>別表第六　ソフトウエア／開発研究用減価償却資産__</v>
      </c>
      <c r="S317" s="100">
        <v>3</v>
      </c>
      <c r="AC317" s="9">
        <v>11</v>
      </c>
      <c r="AD317" s="1">
        <v>13</v>
      </c>
    </row>
    <row r="318" spans="3:30">
      <c r="C318" s="100"/>
      <c r="D318" s="100"/>
      <c r="E318" s="100"/>
      <c r="F318" s="100"/>
      <c r="G318" s="100"/>
      <c r="H318" s="100"/>
      <c r="M318" s="100" t="s">
        <v>216</v>
      </c>
      <c r="N318" s="100" t="s">
        <v>275</v>
      </c>
      <c r="O318" s="100" t="s">
        <v>273</v>
      </c>
      <c r="P318" s="100"/>
      <c r="Q318" s="100"/>
      <c r="R318" s="9" t="str">
        <f t="shared" si="9"/>
        <v>特許権__</v>
      </c>
      <c r="S318" s="100">
        <v>8</v>
      </c>
      <c r="AC318" s="9">
        <v>11</v>
      </c>
      <c r="AD318" s="1">
        <v>7</v>
      </c>
    </row>
    <row r="319" spans="3:30">
      <c r="C319" s="100"/>
      <c r="D319" s="100"/>
      <c r="E319" s="100"/>
      <c r="F319" s="100"/>
      <c r="G319" s="100"/>
      <c r="H319" s="100"/>
      <c r="M319" s="100" t="s">
        <v>216</v>
      </c>
      <c r="N319" s="100" t="s">
        <v>275</v>
      </c>
      <c r="O319" s="100" t="s">
        <v>276</v>
      </c>
      <c r="P319" s="100"/>
      <c r="Q319" s="100"/>
      <c r="R319" s="9" t="str">
        <f t="shared" si="9"/>
        <v>実用新案権__</v>
      </c>
      <c r="S319" s="100">
        <v>5</v>
      </c>
      <c r="AC319" s="9">
        <v>11</v>
      </c>
      <c r="AD319" s="1">
        <v>8</v>
      </c>
    </row>
    <row r="320" spans="3:30">
      <c r="C320" s="100"/>
      <c r="D320" s="100"/>
      <c r="E320" s="100"/>
      <c r="F320" s="100"/>
      <c r="G320" s="100"/>
      <c r="H320" s="100"/>
      <c r="M320" s="100" t="s">
        <v>216</v>
      </c>
      <c r="N320" s="100" t="s">
        <v>275</v>
      </c>
      <c r="O320" s="100" t="s">
        <v>279</v>
      </c>
      <c r="P320" s="100"/>
      <c r="Q320" s="100"/>
      <c r="R320" s="9" t="str">
        <f t="shared" si="9"/>
        <v>意匠権__</v>
      </c>
      <c r="S320" s="100">
        <v>7</v>
      </c>
      <c r="AC320" s="9">
        <v>11</v>
      </c>
      <c r="AD320" s="1">
        <v>9</v>
      </c>
    </row>
    <row r="321" spans="3:30">
      <c r="C321" s="100"/>
      <c r="D321" s="100"/>
      <c r="E321" s="100"/>
      <c r="F321" s="100"/>
      <c r="G321" s="100"/>
      <c r="H321" s="100"/>
      <c r="M321" s="100" t="s">
        <v>216</v>
      </c>
      <c r="N321" s="100" t="s">
        <v>275</v>
      </c>
      <c r="O321" s="100" t="s">
        <v>280</v>
      </c>
      <c r="P321" s="100"/>
      <c r="Q321" s="100"/>
      <c r="R321" s="9" t="str">
        <f t="shared" si="9"/>
        <v>商標権__</v>
      </c>
      <c r="S321" s="100">
        <v>10</v>
      </c>
      <c r="AC321" s="9">
        <v>11</v>
      </c>
      <c r="AD321" s="1">
        <v>10</v>
      </c>
    </row>
    <row r="322" spans="3:30">
      <c r="C322" s="100"/>
      <c r="D322" s="100"/>
      <c r="E322" s="100"/>
      <c r="F322" s="100"/>
      <c r="G322" s="100"/>
      <c r="H322" s="100"/>
      <c r="M322" s="100" t="s">
        <v>216</v>
      </c>
      <c r="N322" s="100" t="s">
        <v>275</v>
      </c>
      <c r="O322" s="100" t="s">
        <v>520</v>
      </c>
      <c r="P322" s="100"/>
      <c r="Q322" s="100" t="s">
        <v>521</v>
      </c>
      <c r="R322" s="9" t="str">
        <f t="shared" si="9"/>
        <v>育成者権__種苗法（平成十年法律第八十三号）第四条第二項に規定する品種</v>
      </c>
      <c r="S322" s="100">
        <v>10</v>
      </c>
      <c r="AC322" s="9">
        <v>11</v>
      </c>
      <c r="AD322" s="1">
        <v>14</v>
      </c>
    </row>
    <row r="323" spans="3:30">
      <c r="C323" s="100"/>
      <c r="D323" s="100"/>
      <c r="E323" s="100"/>
      <c r="F323" s="100"/>
      <c r="G323" s="100"/>
      <c r="H323" s="100"/>
      <c r="M323" s="100" t="s">
        <v>216</v>
      </c>
      <c r="N323" s="100" t="s">
        <v>275</v>
      </c>
      <c r="O323" s="100" t="s">
        <v>520</v>
      </c>
      <c r="P323" s="100"/>
      <c r="Q323" s="100" t="s">
        <v>271</v>
      </c>
      <c r="R323" s="9" t="str">
        <f t="shared" si="9"/>
        <v>育成者権__その他</v>
      </c>
      <c r="S323" s="100">
        <v>8</v>
      </c>
      <c r="AC323" s="9">
        <v>11</v>
      </c>
      <c r="AD323" s="1">
        <v>15</v>
      </c>
    </row>
    <row r="324" spans="3:30">
      <c r="C324" s="100"/>
      <c r="D324" s="100"/>
      <c r="E324" s="100"/>
      <c r="F324" s="100"/>
      <c r="G324" s="100"/>
      <c r="H324" s="100"/>
      <c r="M324" s="100" t="s">
        <v>216</v>
      </c>
      <c r="N324" s="100" t="s">
        <v>275</v>
      </c>
      <c r="O324" s="100" t="s">
        <v>540</v>
      </c>
      <c r="P324" s="100"/>
      <c r="Q324" s="100"/>
      <c r="R324" s="9" t="str">
        <f t="shared" ref="R324:R330" si="10">O324&amp;"_"&amp;P324&amp;"_"&amp;Q324</f>
        <v>営業権__</v>
      </c>
      <c r="S324" s="100">
        <v>5</v>
      </c>
      <c r="AC324" s="9">
        <v>11</v>
      </c>
      <c r="AD324" s="1">
        <v>16</v>
      </c>
    </row>
    <row r="325" spans="3:30">
      <c r="C325" s="100"/>
      <c r="D325" s="100"/>
      <c r="E325" s="100"/>
      <c r="F325" s="100"/>
      <c r="G325" s="100"/>
      <c r="H325" s="100"/>
      <c r="M325" s="100" t="s">
        <v>216</v>
      </c>
      <c r="N325" s="100" t="s">
        <v>275</v>
      </c>
      <c r="O325" s="100" t="s">
        <v>541</v>
      </c>
      <c r="P325" s="100"/>
      <c r="Q325" s="100"/>
      <c r="R325" s="9" t="str">
        <f t="shared" si="10"/>
        <v>専用側線利用権__</v>
      </c>
      <c r="S325" s="100">
        <v>30</v>
      </c>
      <c r="AC325" s="9">
        <v>11</v>
      </c>
      <c r="AD325" s="1">
        <v>17</v>
      </c>
    </row>
    <row r="326" spans="3:30">
      <c r="C326" s="100"/>
      <c r="D326" s="100"/>
      <c r="E326" s="100"/>
      <c r="F326" s="100"/>
      <c r="G326" s="100"/>
      <c r="H326" s="100"/>
      <c r="M326" s="100" t="s">
        <v>216</v>
      </c>
      <c r="N326" s="100" t="s">
        <v>275</v>
      </c>
      <c r="O326" s="100" t="s">
        <v>542</v>
      </c>
      <c r="P326" s="100"/>
      <c r="Q326" s="100"/>
      <c r="R326" s="9" t="str">
        <f t="shared" si="10"/>
        <v>鉄道軌道連絡通行施設利用権__</v>
      </c>
      <c r="S326" s="100">
        <v>30</v>
      </c>
      <c r="AC326" s="9">
        <v>11</v>
      </c>
      <c r="AD326" s="1">
        <v>18</v>
      </c>
    </row>
    <row r="327" spans="3:30">
      <c r="C327" s="100"/>
      <c r="D327" s="100"/>
      <c r="E327" s="100"/>
      <c r="F327" s="100"/>
      <c r="G327" s="100"/>
      <c r="H327" s="100"/>
      <c r="M327" s="100" t="s">
        <v>216</v>
      </c>
      <c r="N327" s="100" t="s">
        <v>275</v>
      </c>
      <c r="O327" s="100" t="s">
        <v>543</v>
      </c>
      <c r="P327" s="100"/>
      <c r="Q327" s="100"/>
      <c r="R327" s="9" t="str">
        <f t="shared" si="10"/>
        <v>電気ガス供給施設利用権__</v>
      </c>
      <c r="S327" s="100">
        <v>15</v>
      </c>
      <c r="AC327" s="9">
        <v>11</v>
      </c>
      <c r="AD327" s="1">
        <v>19</v>
      </c>
    </row>
    <row r="328" spans="3:30">
      <c r="C328" s="100"/>
      <c r="D328" s="100"/>
      <c r="E328" s="100"/>
      <c r="F328" s="100"/>
      <c r="G328" s="100"/>
      <c r="H328" s="100"/>
      <c r="M328" s="100" t="s">
        <v>216</v>
      </c>
      <c r="N328" s="100" t="s">
        <v>275</v>
      </c>
      <c r="O328" s="100" t="s">
        <v>544</v>
      </c>
      <c r="P328" s="100"/>
      <c r="Q328" s="100"/>
      <c r="R328" s="9" t="str">
        <f t="shared" si="10"/>
        <v>水道施設利用権__</v>
      </c>
      <c r="S328" s="100">
        <v>15</v>
      </c>
      <c r="AC328" s="9">
        <v>11</v>
      </c>
      <c r="AD328" s="1">
        <v>20</v>
      </c>
    </row>
    <row r="329" spans="3:30">
      <c r="C329" s="100"/>
      <c r="D329" s="100"/>
      <c r="E329" s="100"/>
      <c r="F329" s="100"/>
      <c r="G329" s="100"/>
      <c r="H329" s="100"/>
      <c r="M329" s="100" t="s">
        <v>216</v>
      </c>
      <c r="N329" s="100" t="s">
        <v>275</v>
      </c>
      <c r="O329" s="100" t="s">
        <v>545</v>
      </c>
      <c r="P329" s="100"/>
      <c r="Q329" s="100"/>
      <c r="R329" s="9" t="str">
        <f t="shared" si="10"/>
        <v>工業用水道施設利用権__</v>
      </c>
      <c r="S329" s="100">
        <v>15</v>
      </c>
      <c r="AC329" s="9">
        <v>11</v>
      </c>
      <c r="AD329" s="1">
        <v>21</v>
      </c>
    </row>
    <row r="330" spans="3:30">
      <c r="C330" s="100"/>
      <c r="D330" s="100"/>
      <c r="E330" s="100"/>
      <c r="F330" s="100"/>
      <c r="G330" s="100"/>
      <c r="H330" s="100"/>
      <c r="M330" s="100" t="s">
        <v>216</v>
      </c>
      <c r="N330" s="100" t="s">
        <v>275</v>
      </c>
      <c r="O330" s="100" t="s">
        <v>546</v>
      </c>
      <c r="P330" s="100"/>
      <c r="Q330" s="100"/>
      <c r="R330" s="9" t="str">
        <f t="shared" si="10"/>
        <v>電気通信施設利用権__</v>
      </c>
      <c r="S330" s="100">
        <v>20</v>
      </c>
      <c r="AC330" s="9">
        <v>11</v>
      </c>
      <c r="AD330" s="1">
        <v>22</v>
      </c>
    </row>
    <row r="331" spans="3:30">
      <c r="AC331" s="9">
        <v>11</v>
      </c>
      <c r="AD331" s="1">
        <v>23</v>
      </c>
    </row>
    <row r="332" spans="3:30">
      <c r="AC332" s="9">
        <v>11</v>
      </c>
      <c r="AD332" s="1">
        <v>24</v>
      </c>
    </row>
    <row r="333" spans="3:30">
      <c r="AC333" s="9">
        <v>11</v>
      </c>
      <c r="AD333" s="1">
        <v>25</v>
      </c>
    </row>
    <row r="334" spans="3:30">
      <c r="AC334" s="9">
        <v>11</v>
      </c>
      <c r="AD334" s="1">
        <v>26</v>
      </c>
    </row>
    <row r="335" spans="3:30">
      <c r="AC335" s="9">
        <v>11</v>
      </c>
      <c r="AD335" s="1">
        <v>27</v>
      </c>
    </row>
    <row r="336" spans="3:30">
      <c r="AC336" s="9">
        <v>11</v>
      </c>
      <c r="AD336" s="1">
        <v>28</v>
      </c>
    </row>
    <row r="337" spans="29:30">
      <c r="AC337" s="9">
        <v>11</v>
      </c>
      <c r="AD337" s="1">
        <v>29</v>
      </c>
    </row>
    <row r="338" spans="29:30">
      <c r="AC338" s="1">
        <v>12</v>
      </c>
      <c r="AD338" s="122" t="s">
        <v>161</v>
      </c>
    </row>
    <row r="339" spans="29:30">
      <c r="AC339" s="9">
        <v>12</v>
      </c>
      <c r="AD339" s="1">
        <v>1</v>
      </c>
    </row>
    <row r="340" spans="29:30">
      <c r="AC340" s="9">
        <v>12</v>
      </c>
      <c r="AD340" s="1">
        <v>2</v>
      </c>
    </row>
    <row r="341" spans="29:30">
      <c r="AC341" s="9">
        <v>12</v>
      </c>
      <c r="AD341" s="1">
        <v>3</v>
      </c>
    </row>
    <row r="342" spans="29:30">
      <c r="AC342" s="9">
        <v>12</v>
      </c>
      <c r="AD342" s="1">
        <v>4</v>
      </c>
    </row>
    <row r="343" spans="29:30">
      <c r="AC343" s="9">
        <v>12</v>
      </c>
      <c r="AD343" s="1">
        <v>5</v>
      </c>
    </row>
    <row r="344" spans="29:30">
      <c r="AC344" s="9">
        <v>12</v>
      </c>
      <c r="AD344" s="1">
        <v>6</v>
      </c>
    </row>
    <row r="345" spans="29:30">
      <c r="AC345" s="9">
        <v>12</v>
      </c>
      <c r="AD345" s="1">
        <v>7</v>
      </c>
    </row>
    <row r="346" spans="29:30">
      <c r="AC346" s="9">
        <v>12</v>
      </c>
      <c r="AD346" s="1">
        <v>8</v>
      </c>
    </row>
    <row r="347" spans="29:30">
      <c r="AC347" s="9">
        <v>12</v>
      </c>
      <c r="AD347" s="1">
        <v>9</v>
      </c>
    </row>
    <row r="348" spans="29:30">
      <c r="AC348" s="9">
        <v>12</v>
      </c>
      <c r="AD348" s="1">
        <v>10</v>
      </c>
    </row>
    <row r="349" spans="29:30">
      <c r="AC349" s="9">
        <v>12</v>
      </c>
      <c r="AD349" s="1">
        <v>11</v>
      </c>
    </row>
    <row r="350" spans="29:30">
      <c r="AC350" s="9">
        <v>12</v>
      </c>
      <c r="AD350" s="1">
        <v>12</v>
      </c>
    </row>
    <row r="351" spans="29:30">
      <c r="AC351" s="9">
        <v>12</v>
      </c>
      <c r="AD351" s="1">
        <v>13</v>
      </c>
    </row>
    <row r="352" spans="29:30">
      <c r="AC352" s="9">
        <v>12</v>
      </c>
      <c r="AD352" s="1">
        <v>14</v>
      </c>
    </row>
    <row r="353" spans="29:30">
      <c r="AC353" s="9">
        <v>12</v>
      </c>
      <c r="AD353" s="1">
        <v>15</v>
      </c>
    </row>
    <row r="354" spans="29:30">
      <c r="AC354" s="9">
        <v>12</v>
      </c>
      <c r="AD354" s="1">
        <v>16</v>
      </c>
    </row>
    <row r="355" spans="29:30">
      <c r="AC355" s="9">
        <v>12</v>
      </c>
      <c r="AD355" s="1">
        <v>17</v>
      </c>
    </row>
    <row r="356" spans="29:30">
      <c r="AC356" s="9">
        <v>12</v>
      </c>
      <c r="AD356" s="1">
        <v>18</v>
      </c>
    </row>
    <row r="357" spans="29:30">
      <c r="AC357" s="9">
        <v>12</v>
      </c>
      <c r="AD357" s="1">
        <v>19</v>
      </c>
    </row>
    <row r="358" spans="29:30">
      <c r="AC358" s="9">
        <v>12</v>
      </c>
      <c r="AD358" s="1">
        <v>20</v>
      </c>
    </row>
    <row r="359" spans="29:30">
      <c r="AC359" s="9">
        <v>12</v>
      </c>
      <c r="AD359" s="1">
        <v>21</v>
      </c>
    </row>
    <row r="360" spans="29:30">
      <c r="AC360" s="9">
        <v>12</v>
      </c>
      <c r="AD360" s="1">
        <v>22</v>
      </c>
    </row>
    <row r="361" spans="29:30">
      <c r="AC361" s="9">
        <v>12</v>
      </c>
      <c r="AD361" s="1">
        <v>23</v>
      </c>
    </row>
    <row r="362" spans="29:30">
      <c r="AC362" s="9">
        <v>12</v>
      </c>
      <c r="AD362" s="1">
        <v>24</v>
      </c>
    </row>
    <row r="363" spans="29:30">
      <c r="AC363" s="9">
        <v>12</v>
      </c>
      <c r="AD363" s="1">
        <v>25</v>
      </c>
    </row>
    <row r="364" spans="29:30">
      <c r="AC364" s="9">
        <v>12</v>
      </c>
      <c r="AD364" s="1">
        <v>26</v>
      </c>
    </row>
    <row r="365" spans="29:30">
      <c r="AC365" s="9">
        <v>12</v>
      </c>
      <c r="AD365" s="1">
        <v>27</v>
      </c>
    </row>
    <row r="366" spans="29:30">
      <c r="AC366" s="9">
        <v>12</v>
      </c>
      <c r="AD366" s="1">
        <v>28</v>
      </c>
    </row>
    <row r="367" spans="29:30">
      <c r="AC367" s="9">
        <v>12</v>
      </c>
      <c r="AD367" s="1">
        <v>29</v>
      </c>
    </row>
    <row r="368" spans="29:30">
      <c r="AC368" s="9">
        <v>12</v>
      </c>
      <c r="AD368" s="1">
        <v>30</v>
      </c>
    </row>
  </sheetData>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E4C27015499F14AB3069BB0C679B2F4" ma:contentTypeVersion="13" ma:contentTypeDescription="新しいドキュメントを作成します。" ma:contentTypeScope="" ma:versionID="e74befb16643d44b0ef4deb5d9a71a8a">
  <xsd:schema xmlns:xsd="http://www.w3.org/2001/XMLSchema" xmlns:xs="http://www.w3.org/2001/XMLSchema" xmlns:p="http://schemas.microsoft.com/office/2006/metadata/properties" xmlns:ns2="e808ca2f-46a6-4154-90aa-5802a40e19c1" xmlns:ns3="9f99a72d-11a2-4e0a-a009-eb53fc8aaf70" targetNamespace="http://schemas.microsoft.com/office/2006/metadata/properties" ma:root="true" ma:fieldsID="d6445aac07d2272ddd91d3e096fcd156" ns2:_="" ns3:_="">
    <xsd:import namespace="e808ca2f-46a6-4154-90aa-5802a40e19c1"/>
    <xsd:import namespace="9f99a72d-11a2-4e0a-a009-eb53fc8aaf7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08ca2f-46a6-4154-90aa-5802a40e19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6ebeabc6-1c0c-4751-aeab-3e30fad09a76"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f99a72d-11a2-4e0a-a009-eb53fc8aaf7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fc94afb2-59c0-44d2-b7f7-0982e8f9874f}" ma:internalName="TaxCatchAll" ma:showField="CatchAllData" ma:web="9f99a72d-11a2-4e0a-a009-eb53fc8aaf7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808ca2f-46a6-4154-90aa-5802a40e19c1">
      <Terms xmlns="http://schemas.microsoft.com/office/infopath/2007/PartnerControls"/>
    </lcf76f155ced4ddcb4097134ff3c332f>
    <TaxCatchAll xmlns="9f99a72d-11a2-4e0a-a009-eb53fc8aaf70" xsi:nil="true"/>
  </documentManagement>
</p:properties>
</file>

<file path=customXml/itemProps1.xml><?xml version="1.0" encoding="utf-8"?>
<ds:datastoreItem xmlns:ds="http://schemas.openxmlformats.org/officeDocument/2006/customXml" ds:itemID="{89137365-7E7E-4DA5-9FE8-D45A1631F7E7}"/>
</file>

<file path=customXml/itemProps2.xml><?xml version="1.0" encoding="utf-8"?>
<ds:datastoreItem xmlns:ds="http://schemas.openxmlformats.org/officeDocument/2006/customXml" ds:itemID="{27FACFC4-A76A-48E8-BCC9-E63F76B4BBED}"/>
</file>

<file path=customXml/itemProps3.xml><?xml version="1.0" encoding="utf-8"?>
<ds:datastoreItem xmlns:ds="http://schemas.openxmlformats.org/officeDocument/2006/customXml" ds:itemID="{E0A3D30A-CF6C-4B52-A103-51A0D9AC88A9}"/>
</file>

<file path=docMetadata/LabelInfo.xml><?xml version="1.0" encoding="utf-8"?>
<clbl:labelList xmlns:clbl="http://schemas.microsoft.com/office/2020/mipLabelMetadata">
  <clbl:label id="{e0793d39-0939-496d-b129-198edd916feb}" enabled="0" method="" siteId="{e0793d39-0939-496d-b129-198edd916feb}"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2026-02-16T02:05:32Z</dcterms:created>
  <dcterms:modified xsi:type="dcterms:W3CDTF">2026-02-16T02:15:46Z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0x0101007E4C27015499F14AB3069BB0C679B2F4</vt:lpwstr>
  </property>
  <property fmtid="{D5CDD505-2E9C-101B-9397-08002B2CF9AE}" pid="3" name="MediaServiceImageTags">
    <vt:lpwstr/>
  </property>
</Properties>
</file>