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charts/chart8.xml" ContentType="application/vnd.openxmlformats-officedocument.drawingml.chart+xml"/>
  <Override PartName="/xl/drawings/drawing2.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3.xml" ContentType="application/vnd.ms-office.chartstyle+xml"/>
  <Override PartName="/xl/charts/colors3.xml" ContentType="application/vnd.ms-office.chartcolorstyle+xml"/>
  <Override PartName="/xl/charts/chart16.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codeName="ThisWorkbook"/>
  <mc:AlternateContent xmlns:mc="http://schemas.openxmlformats.org/markup-compatibility/2006">
    <mc:Choice Requires="x15">
      <x15ac:absPath xmlns:x15ac="http://schemas.microsoft.com/office/spreadsheetml/2010/11/ac" url="/Users/dmcoylicsw/Library/CloudStorage/Dropbox/JAM-DMC Collaborations/MID Manual Project/01 MID Analysis/MID Analysis v6.x - 2022 Masters/"/>
    </mc:Choice>
  </mc:AlternateContent>
  <xr:revisionPtr revIDLastSave="0" documentId="13_ncr:1_{CDB67A83-74BB-4E47-A83D-C34C79FAAD2A}" xr6:coauthVersionLast="47" xr6:coauthVersionMax="47" xr10:uidLastSave="{00000000-0000-0000-0000-000000000000}"/>
  <bookViews>
    <workbookView xWindow="14240" yWindow="1080" windowWidth="29820" windowHeight="26000" tabRatio="723" xr2:uid="{00000000-000D-0000-FFFF-FFFF00000000}"/>
  </bookViews>
  <sheets>
    <sheet name="Questions" sheetId="1" r:id="rId1"/>
    <sheet name="Calculations" sheetId="2" r:id="rId2"/>
    <sheet name="The MID Report" sheetId="3" r:id="rId3"/>
    <sheet name="MID Line Graphs" sheetId="4" r:id="rId4"/>
    <sheet name="MID Bar Graphs" sheetId="5" r:id="rId5"/>
    <sheet name="Credits and Notes" sheetId="6" r:id="rId6"/>
  </sheets>
  <definedNames>
    <definedName name="_CritA">Calculations!$F$532</definedName>
    <definedName name="_CritA2">Calculations!$F$554</definedName>
    <definedName name="_CritA3">Calculations!$F$555</definedName>
    <definedName name="_CritA4">Calculations!$F$553</definedName>
    <definedName name="_CritB">Calculations!$F$533</definedName>
    <definedName name="_CritB9">Calculations!$F$534</definedName>
    <definedName name="_CritC">Calculations!$F$535</definedName>
    <definedName name="_Q1">Questions!$B$13</definedName>
    <definedName name="_Q10">Questions!$B$22</definedName>
    <definedName name="_Q100">Questions!$B$112</definedName>
    <definedName name="_Q101">Questions!$B$113</definedName>
    <definedName name="_Q102">Questions!$B$114</definedName>
    <definedName name="_Q103">Questions!$B$115</definedName>
    <definedName name="_Q104">Questions!$B$116</definedName>
    <definedName name="_Q105">Questions!$B$117</definedName>
    <definedName name="_Q106">Questions!$B$118</definedName>
    <definedName name="_Q107">Questions!$B$119</definedName>
    <definedName name="_Q108">Questions!$B$120</definedName>
    <definedName name="_Q109">Questions!$B$121</definedName>
    <definedName name="_Q11">Questions!$B$23</definedName>
    <definedName name="_Q110">Questions!$B$122</definedName>
    <definedName name="_Q111">Questions!$B$123</definedName>
    <definedName name="_Q112">Questions!$B$124</definedName>
    <definedName name="_Q113">Questions!$B$125</definedName>
    <definedName name="_Q114">Questions!$B$126</definedName>
    <definedName name="_Q115">Questions!$B$127</definedName>
    <definedName name="_Q116">Questions!$B$128</definedName>
    <definedName name="_Q117">Questions!$B$129</definedName>
    <definedName name="_Q118">Questions!$B$130</definedName>
    <definedName name="_Q119">Questions!$B$131</definedName>
    <definedName name="_Q12">Questions!$B$24</definedName>
    <definedName name="_Q120">Questions!$B$132</definedName>
    <definedName name="_Q121">Questions!$B$133</definedName>
    <definedName name="_Q122">Questions!$B$134</definedName>
    <definedName name="_Q123">Questions!$B$135</definedName>
    <definedName name="_Q124">Questions!$B$136</definedName>
    <definedName name="_Q125">Questions!$B$137</definedName>
    <definedName name="_Q126">Questions!$B$138</definedName>
    <definedName name="_Q127">Questions!$B$139</definedName>
    <definedName name="_Q128">Questions!$B$140</definedName>
    <definedName name="_Q129">Questions!$B$141</definedName>
    <definedName name="_Q13">Questions!$B$25</definedName>
    <definedName name="_Q130">Questions!$B$142</definedName>
    <definedName name="_Q131">Questions!$B$143</definedName>
    <definedName name="_Q132">Questions!$B$144</definedName>
    <definedName name="_Q133">Questions!$B$145</definedName>
    <definedName name="_Q134">Questions!$B$146</definedName>
    <definedName name="_Q135">Questions!$B$147</definedName>
    <definedName name="_Q136">Questions!$B$148</definedName>
    <definedName name="_Q137">Questions!$B$149</definedName>
    <definedName name="_Q138">Questions!$B$150</definedName>
    <definedName name="_Q139">Questions!$B$151</definedName>
    <definedName name="_Q14">Questions!$B$26</definedName>
    <definedName name="_Q140">Questions!$B$152</definedName>
    <definedName name="_Q141">Questions!$B$153</definedName>
    <definedName name="_Q142">Questions!$B$154</definedName>
    <definedName name="_Q143">Questions!$B$155</definedName>
    <definedName name="_Q144">Questions!$B$156</definedName>
    <definedName name="_Q145">Questions!$B$157</definedName>
    <definedName name="_Q146">Questions!$B$158</definedName>
    <definedName name="_Q147">Questions!$B$159</definedName>
    <definedName name="_Q148">Questions!$B$160</definedName>
    <definedName name="_Q149">Questions!$B$161</definedName>
    <definedName name="_Q15">Questions!$B$27</definedName>
    <definedName name="_Q150">Questions!$B$162</definedName>
    <definedName name="_Q151">Questions!$B$163</definedName>
    <definedName name="_Q152">Questions!$B$164</definedName>
    <definedName name="_Q153">Questions!$B$165</definedName>
    <definedName name="_Q154">Questions!$B$166</definedName>
    <definedName name="_Q155">Questions!$B$167</definedName>
    <definedName name="_Q156">Questions!$B$168</definedName>
    <definedName name="_Q157">Questions!$B$169</definedName>
    <definedName name="_Q158">Questions!$B$170</definedName>
    <definedName name="_Q159">Questions!$B$171</definedName>
    <definedName name="_Q16">Questions!$B$28</definedName>
    <definedName name="_Q160">Questions!$B$172</definedName>
    <definedName name="_Q161">Questions!$B$173</definedName>
    <definedName name="_Q162">Questions!$B$174</definedName>
    <definedName name="_Q163">Questions!$B$175</definedName>
    <definedName name="_Q164">Questions!$B$176</definedName>
    <definedName name="_Q165">Questions!$B$177</definedName>
    <definedName name="_Q166">Questions!$B$178</definedName>
    <definedName name="_Q167">Questions!$B$179</definedName>
    <definedName name="_Q168">Questions!$B$180</definedName>
    <definedName name="_Q169">Questions!$B$181</definedName>
    <definedName name="_Q17">Questions!$B$29</definedName>
    <definedName name="_Q170">Questions!$B$182</definedName>
    <definedName name="_Q171">Questions!$B$183</definedName>
    <definedName name="_Q172">Questions!$B$184</definedName>
    <definedName name="_Q173">Questions!$B$185</definedName>
    <definedName name="_Q174">Questions!$B$186</definedName>
    <definedName name="_Q175">Questions!$B$187</definedName>
    <definedName name="_Q176">Questions!$B$188</definedName>
    <definedName name="_Q177">Questions!$B$189</definedName>
    <definedName name="_Q178">Questions!$B$190</definedName>
    <definedName name="_Q179">Questions!$B$191</definedName>
    <definedName name="_Q18">Questions!$B$30</definedName>
    <definedName name="_Q180">Questions!$B$192</definedName>
    <definedName name="_Q181">Questions!$B$193</definedName>
    <definedName name="_Q182">Questions!$B$194</definedName>
    <definedName name="_Q183">Questions!$B$195</definedName>
    <definedName name="_Q184">Questions!$B$196</definedName>
    <definedName name="_Q185">Questions!$B$197</definedName>
    <definedName name="_Q186">Questions!$B$198</definedName>
    <definedName name="_Q187">Questions!$B$199</definedName>
    <definedName name="_Q188">Questions!$B$200</definedName>
    <definedName name="_Q189">Questions!$B$201</definedName>
    <definedName name="_Q19">Questions!$B$31</definedName>
    <definedName name="_Q190">Questions!$B$202</definedName>
    <definedName name="_Q191">Questions!$B$203</definedName>
    <definedName name="_Q192">Questions!$B$204</definedName>
    <definedName name="_Q193">Questions!$B$205</definedName>
    <definedName name="_Q194">Questions!$B$206</definedName>
    <definedName name="_Q195">Questions!$B$207</definedName>
    <definedName name="_Q196">Questions!$B$208</definedName>
    <definedName name="_Q197">Questions!$B$209</definedName>
    <definedName name="_Q198">Questions!$B$210</definedName>
    <definedName name="_Q199">Questions!$B$211</definedName>
    <definedName name="_Q2">Questions!$B$14</definedName>
    <definedName name="_Q20">Questions!$B$32</definedName>
    <definedName name="_Q200">Questions!$B$212</definedName>
    <definedName name="_Q201">Questions!$B$213</definedName>
    <definedName name="_Q202">Questions!$B$214</definedName>
    <definedName name="_Q203">Questions!$B$215</definedName>
    <definedName name="_Q204">Questions!$B$216</definedName>
    <definedName name="_Q205">Questions!$B$217</definedName>
    <definedName name="_Q206">Questions!$B$218</definedName>
    <definedName name="_Q207">Questions!$B$219</definedName>
    <definedName name="_Q208">Questions!$B$220</definedName>
    <definedName name="_Q209">Questions!$B$221</definedName>
    <definedName name="_Q21">Questions!$B$33</definedName>
    <definedName name="_Q210">Questions!$B$222</definedName>
    <definedName name="_Q211">Questions!$B$223</definedName>
    <definedName name="_Q212">Questions!$B$224</definedName>
    <definedName name="_Q213">Questions!$B$225</definedName>
    <definedName name="_Q214">Questions!$B$226</definedName>
    <definedName name="_Q215">Questions!$B$227</definedName>
    <definedName name="_Q216">Questions!$B$228</definedName>
    <definedName name="_Q217">Questions!$B$229</definedName>
    <definedName name="_Q218">Questions!$B$230</definedName>
    <definedName name="_Q22">Questions!$B$34</definedName>
    <definedName name="_Q23">Questions!$B$35</definedName>
    <definedName name="_Q24">Questions!$B$36</definedName>
    <definedName name="_Q25">Questions!$B$37</definedName>
    <definedName name="_Q26">Questions!$B$38</definedName>
    <definedName name="_Q27">Questions!$B$39</definedName>
    <definedName name="_Q28">Questions!$B$40</definedName>
    <definedName name="_Q29">Questions!$B$41</definedName>
    <definedName name="_Q3">Questions!$B$15</definedName>
    <definedName name="_Q30">Questions!$B$42</definedName>
    <definedName name="_Q31">Questions!$B$43</definedName>
    <definedName name="_Q32">Questions!$B$44</definedName>
    <definedName name="_Q33">Questions!$B$45</definedName>
    <definedName name="_Q34">Questions!$B$46</definedName>
    <definedName name="_Q35">Questions!$B$47</definedName>
    <definedName name="_Q36">Questions!$B$48</definedName>
    <definedName name="_Q37">Questions!$B$49</definedName>
    <definedName name="_Q38">Questions!$B$50</definedName>
    <definedName name="_Q39">Questions!$B$51</definedName>
    <definedName name="_Q4">Questions!$B$16</definedName>
    <definedName name="_Q40">Questions!$B$52</definedName>
    <definedName name="_Q41">Questions!$B$53</definedName>
    <definedName name="_Q42">Questions!$B$54</definedName>
    <definedName name="_Q43">Questions!$B$55</definedName>
    <definedName name="_Q44">Questions!$B$56</definedName>
    <definedName name="_Q45">Questions!$B$57</definedName>
    <definedName name="_Q46">Questions!$B$58</definedName>
    <definedName name="_Q47">Questions!$B$59</definedName>
    <definedName name="_Q48">Questions!$B$60</definedName>
    <definedName name="_Q49">Questions!$B$61</definedName>
    <definedName name="_Q5">Questions!$B$17</definedName>
    <definedName name="_Q50">Questions!$B$62</definedName>
    <definedName name="_Q51">Questions!$B$63</definedName>
    <definedName name="_Q52">Questions!$B$64</definedName>
    <definedName name="_Q53">Questions!$B$65</definedName>
    <definedName name="_Q54">Questions!$B$66</definedName>
    <definedName name="_Q55">Questions!$B$67</definedName>
    <definedName name="_Q56">Questions!$B$68</definedName>
    <definedName name="_Q57">Questions!$B$69</definedName>
    <definedName name="_Q58">Questions!$B$70</definedName>
    <definedName name="_Q59">Questions!$B$71</definedName>
    <definedName name="_Q6">Questions!$B$18</definedName>
    <definedName name="_Q60">Questions!$B$72</definedName>
    <definedName name="_Q61">Questions!$B$73</definedName>
    <definedName name="_Q62">Questions!$B$74</definedName>
    <definedName name="_Q63">Questions!$B$75</definedName>
    <definedName name="_Q64">Questions!$B$76</definedName>
    <definedName name="_Q65">Questions!$B$77</definedName>
    <definedName name="_Q66">Questions!$B$78</definedName>
    <definedName name="_Q67">Questions!$B$79</definedName>
    <definedName name="_Q68">Questions!$B$80</definedName>
    <definedName name="_Q69">Questions!$B$81</definedName>
    <definedName name="_Q7">Questions!$B$19</definedName>
    <definedName name="_Q70">Questions!$B$82</definedName>
    <definedName name="_Q71">Questions!$B$83</definedName>
    <definedName name="_Q72">Questions!$B$84</definedName>
    <definedName name="_Q73">Questions!$B$85</definedName>
    <definedName name="_Q74">Questions!$B$86</definedName>
    <definedName name="_Q75">Questions!$B$87</definedName>
    <definedName name="_Q76">Questions!$B$88</definedName>
    <definedName name="_Q77">Questions!$B$89</definedName>
    <definedName name="_Q78">Questions!$B$90</definedName>
    <definedName name="_Q79">Questions!$B$91</definedName>
    <definedName name="_Q8">Questions!$B$20</definedName>
    <definedName name="_Q80">Questions!$B$92</definedName>
    <definedName name="_Q81">Questions!$B$93</definedName>
    <definedName name="_Q82">Questions!$B$94</definedName>
    <definedName name="_Q83">Questions!$B$95</definedName>
    <definedName name="_Q84">Questions!$B$96</definedName>
    <definedName name="_Q85">Questions!$B$97</definedName>
    <definedName name="_Q86">Questions!$B$98</definedName>
    <definedName name="_Q87">Questions!$B$99</definedName>
    <definedName name="_Q88">Questions!$B$100</definedName>
    <definedName name="_Q89">Questions!$B$101</definedName>
    <definedName name="_Q9">Questions!$B$21</definedName>
    <definedName name="_Q90">Questions!$B$102</definedName>
    <definedName name="_Q91">Questions!$B$103</definedName>
    <definedName name="_Q92">Questions!$B$104</definedName>
    <definedName name="_Q93">Questions!$B$105</definedName>
    <definedName name="_Q94">Questions!$B$106</definedName>
    <definedName name="_Q95">Questions!$B$107</definedName>
    <definedName name="_Q96">Questions!$B$108</definedName>
    <definedName name="_Q97">Questions!$B$109</definedName>
    <definedName name="_Q98">Questions!$B$110</definedName>
    <definedName name="_Q99">Questions!$B$111</definedName>
    <definedName name="_T1">Questions!$C$13</definedName>
    <definedName name="_T10">Questions!$C$22</definedName>
    <definedName name="_T100">Questions!$C$112</definedName>
    <definedName name="_T101">Questions!$C$113</definedName>
    <definedName name="_T102">Questions!$C$114</definedName>
    <definedName name="_T103">Questions!$C$115</definedName>
    <definedName name="_T104">Questions!$C$116</definedName>
    <definedName name="_T105">Questions!$C$117</definedName>
    <definedName name="_T106">Questions!$C$118</definedName>
    <definedName name="_T107">Questions!$C$119</definedName>
    <definedName name="_T108">Questions!$C$120</definedName>
    <definedName name="_T109">Questions!$C$121</definedName>
    <definedName name="_T11">Questions!$C$23</definedName>
    <definedName name="_T110">Questions!$C$122</definedName>
    <definedName name="_T111">Questions!$C$123</definedName>
    <definedName name="_T112">Questions!$C$124</definedName>
    <definedName name="_T113">Questions!$C$125</definedName>
    <definedName name="_T114">Questions!$C$126</definedName>
    <definedName name="_T115">Questions!$C$127</definedName>
    <definedName name="_T116">Questions!$C$128</definedName>
    <definedName name="_T117">Questions!$C$129</definedName>
    <definedName name="_T118">Questions!$C$130</definedName>
    <definedName name="_T119">Questions!$C$131</definedName>
    <definedName name="_T12">Questions!$C$24</definedName>
    <definedName name="_T120">Questions!$C$132</definedName>
    <definedName name="_T121">Questions!$C$133</definedName>
    <definedName name="_T122">Questions!$C$134</definedName>
    <definedName name="_T123">Questions!$C$135</definedName>
    <definedName name="_T124">Questions!$C$136</definedName>
    <definedName name="_T125">Questions!$C$137</definedName>
    <definedName name="_T126">Questions!$C$138</definedName>
    <definedName name="_T127">Questions!$C$139</definedName>
    <definedName name="_T128">Questions!$C$140</definedName>
    <definedName name="_T129">Questions!$C$141</definedName>
    <definedName name="_T13">Questions!$C$25</definedName>
    <definedName name="_T130">Questions!$C$142</definedName>
    <definedName name="_T131">Questions!$C$143</definedName>
    <definedName name="_T132">Questions!$C$144</definedName>
    <definedName name="_T133">Questions!$C$145</definedName>
    <definedName name="_T134">Questions!$C$146</definedName>
    <definedName name="_T135">Questions!$C$147</definedName>
    <definedName name="_T136">Questions!$C$148</definedName>
    <definedName name="_T137">Questions!$C$149</definedName>
    <definedName name="_T138">Questions!$C$150</definedName>
    <definedName name="_T139">Questions!$C$151</definedName>
    <definedName name="_T14">Questions!$C$26</definedName>
    <definedName name="_T140">Questions!$C$152</definedName>
    <definedName name="_T141">Questions!$C$153</definedName>
    <definedName name="_t142">Questions!$C$154</definedName>
    <definedName name="_T143">Questions!$C$155</definedName>
    <definedName name="_T144">Questions!$C$156</definedName>
    <definedName name="_T145">Questions!$C$157</definedName>
    <definedName name="_T146">Questions!$C$158</definedName>
    <definedName name="_T147">Questions!$C$159</definedName>
    <definedName name="_T148">Questions!$C$160</definedName>
    <definedName name="_T149">Questions!$C$161</definedName>
    <definedName name="_T15">Questions!$C$27</definedName>
    <definedName name="_T150">Questions!$C$162</definedName>
    <definedName name="_T151">Questions!$C$163</definedName>
    <definedName name="_T152">Questions!$C$164</definedName>
    <definedName name="_T153">Questions!$C$165</definedName>
    <definedName name="_T154">Questions!$C$166</definedName>
    <definedName name="_T155">Questions!$C$167</definedName>
    <definedName name="_T156">Questions!$C$168</definedName>
    <definedName name="_T157">Questions!$C$169</definedName>
    <definedName name="_T158">Questions!$C$170</definedName>
    <definedName name="_T159">Questions!$C$171</definedName>
    <definedName name="_T16">Questions!$C$28</definedName>
    <definedName name="_T160">Questions!$C$172</definedName>
    <definedName name="_T161">Questions!$C$173</definedName>
    <definedName name="_T162">Questions!$C$174</definedName>
    <definedName name="_T163">Questions!$C$175</definedName>
    <definedName name="_T164">Questions!$C$176</definedName>
    <definedName name="_T165">Questions!$C$177</definedName>
    <definedName name="_T166">Questions!$C$178</definedName>
    <definedName name="_T167">Questions!$C$179</definedName>
    <definedName name="_T168">Questions!$C$180</definedName>
    <definedName name="_T169">Questions!$C$181</definedName>
    <definedName name="_T17">Questions!$C$29</definedName>
    <definedName name="_T170">Questions!$C$182</definedName>
    <definedName name="_T171">Questions!$C$183</definedName>
    <definedName name="_T172">Questions!$C$184</definedName>
    <definedName name="_T173">Questions!$C$185</definedName>
    <definedName name="_T174">Questions!$C$186</definedName>
    <definedName name="_T175">Questions!$C$187</definedName>
    <definedName name="_T176">Questions!$C$188</definedName>
    <definedName name="_T177">Questions!$C$189</definedName>
    <definedName name="_T178">Questions!$C$190</definedName>
    <definedName name="_T179">Questions!$C$191</definedName>
    <definedName name="_T18">Questions!$C$30</definedName>
    <definedName name="_T180">Questions!$C$192</definedName>
    <definedName name="_T181">Questions!$C$193</definedName>
    <definedName name="_T182">Questions!$C$194</definedName>
    <definedName name="_T183">Questions!$C$195</definedName>
    <definedName name="_T184">Questions!$C$196</definedName>
    <definedName name="_T185">Questions!$C$197</definedName>
    <definedName name="_T186">Questions!$C$198</definedName>
    <definedName name="_T187">Questions!$C$199</definedName>
    <definedName name="_T188">Questions!$C$200</definedName>
    <definedName name="_T189">Questions!$C$201</definedName>
    <definedName name="_T19">Questions!$C$31</definedName>
    <definedName name="_T190">Questions!$C$202</definedName>
    <definedName name="_T191">Questions!$C$203</definedName>
    <definedName name="_T192">Questions!$C$204</definedName>
    <definedName name="_T193">Questions!$C$205</definedName>
    <definedName name="_T194">Questions!$C$206</definedName>
    <definedName name="_T195">Questions!$C$207</definedName>
    <definedName name="_T196">Questions!$C$208</definedName>
    <definedName name="_T197">Questions!$C$209</definedName>
    <definedName name="_T198">Questions!$C$210</definedName>
    <definedName name="_T199">Questions!$C$211</definedName>
    <definedName name="_T2">Questions!$C$14</definedName>
    <definedName name="_T20">Questions!$C$32</definedName>
    <definedName name="_T200">Questions!$C$212</definedName>
    <definedName name="_T201">Questions!$C$213</definedName>
    <definedName name="_T202">Questions!$C$214</definedName>
    <definedName name="_T203">Questions!$C$215</definedName>
    <definedName name="_T204">Questions!$C$216</definedName>
    <definedName name="_T205">Questions!$C$217</definedName>
    <definedName name="_T206">Questions!$C$218</definedName>
    <definedName name="_T207">Questions!$C$219</definedName>
    <definedName name="_T208">Questions!$C$220</definedName>
    <definedName name="_T209">Questions!$C$221</definedName>
    <definedName name="_T21">Questions!$C$33</definedName>
    <definedName name="_T210">Questions!$C$222</definedName>
    <definedName name="_T211">Questions!$C$223</definedName>
    <definedName name="_T212">Questions!$C$224</definedName>
    <definedName name="_T213">Questions!$C$225</definedName>
    <definedName name="_T214">Questions!$C$226</definedName>
    <definedName name="_T215">Questions!$C$227</definedName>
    <definedName name="_T216">Questions!$C$228</definedName>
    <definedName name="_T217">Questions!$C$229</definedName>
    <definedName name="_T218">Questions!$C$230</definedName>
    <definedName name="_T22">Questions!$C$34</definedName>
    <definedName name="_T23">Questions!$C$35</definedName>
    <definedName name="_T24">Questions!$C$36</definedName>
    <definedName name="_T25">Questions!$C$37</definedName>
    <definedName name="_T26">Questions!$C$38</definedName>
    <definedName name="_T27">Questions!$C$39</definedName>
    <definedName name="_T28">Questions!$C$40</definedName>
    <definedName name="_T29">Questions!$C$41</definedName>
    <definedName name="_T3">Questions!$C$15</definedName>
    <definedName name="_T30">Questions!$C$42</definedName>
    <definedName name="_T31">Questions!$C$43</definedName>
    <definedName name="_T32">Questions!$C$44</definedName>
    <definedName name="_T33">Questions!$C$45</definedName>
    <definedName name="_T34">Questions!$C$46</definedName>
    <definedName name="_T35">Questions!$C$47</definedName>
    <definedName name="_T36">Questions!$C$48</definedName>
    <definedName name="_T37">Questions!$C$49</definedName>
    <definedName name="_T38">Questions!$C$50</definedName>
    <definedName name="_T39">Questions!$C$51</definedName>
    <definedName name="_T4">Questions!$C$16</definedName>
    <definedName name="_T40">Questions!$C$52</definedName>
    <definedName name="_T41">Questions!$C$53</definedName>
    <definedName name="_T42">Questions!$C$54</definedName>
    <definedName name="_T43">Questions!$C$55</definedName>
    <definedName name="_T44">Questions!$C$56</definedName>
    <definedName name="_T45">Questions!$C$57</definedName>
    <definedName name="_T46">Questions!$C$58</definedName>
    <definedName name="_T47">Questions!$C$59</definedName>
    <definedName name="_T48">Questions!$C$60</definedName>
    <definedName name="_T49">Questions!$C$61</definedName>
    <definedName name="_T5">Questions!$C$17</definedName>
    <definedName name="_T50">Questions!$C$62</definedName>
    <definedName name="_T51">Questions!$C$63</definedName>
    <definedName name="_T52">Questions!$C$64</definedName>
    <definedName name="_T53">Questions!$C$65</definedName>
    <definedName name="_T54">Questions!$C$66</definedName>
    <definedName name="_T55">Questions!$C$67</definedName>
    <definedName name="_T56">Questions!$C$68</definedName>
    <definedName name="_T57">Questions!$C$69</definedName>
    <definedName name="_T58">Questions!$C$70</definedName>
    <definedName name="_T59">Questions!$C$71</definedName>
    <definedName name="_T6">Questions!$C$18</definedName>
    <definedName name="_T60">Questions!$C$72</definedName>
    <definedName name="_T61">Questions!$C$73</definedName>
    <definedName name="_T62">Questions!$C$74</definedName>
    <definedName name="_T63">Questions!$C$75</definedName>
    <definedName name="_T64">Questions!$C$76</definedName>
    <definedName name="_T65">Questions!$C$77</definedName>
    <definedName name="_T66">Questions!$C$78</definedName>
    <definedName name="_T67">Questions!$C$79</definedName>
    <definedName name="_T68">Questions!$C$80</definedName>
    <definedName name="_T69">Questions!$C$81</definedName>
    <definedName name="_T7">Questions!$C$19</definedName>
    <definedName name="_T70">Questions!$C$82</definedName>
    <definedName name="_T71">Questions!$C$83</definedName>
    <definedName name="_T72">Questions!$C$84</definedName>
    <definedName name="_T73">Questions!$C$85</definedName>
    <definedName name="_T74">Questions!$C$86</definedName>
    <definedName name="_T75">Questions!$C$87</definedName>
    <definedName name="_T76">Questions!$C$88</definedName>
    <definedName name="_T77">Questions!$C$89</definedName>
    <definedName name="_T78">Questions!$C$90</definedName>
    <definedName name="_T79">Questions!$C$91</definedName>
    <definedName name="_T8">Questions!$C$20</definedName>
    <definedName name="_T80">Questions!$C$92</definedName>
    <definedName name="_T81">Questions!$C$93</definedName>
    <definedName name="_T82">Questions!$C$94</definedName>
    <definedName name="_T83">Questions!$C$95</definedName>
    <definedName name="_T84">Questions!$C$96</definedName>
    <definedName name="_T85">Questions!$C$97</definedName>
    <definedName name="_T86">Questions!$C$98</definedName>
    <definedName name="_T87">Questions!$C$99</definedName>
    <definedName name="_T88">Questions!$C$100</definedName>
    <definedName name="_T89">Questions!$C$101</definedName>
    <definedName name="_T9">Questions!$C$21</definedName>
    <definedName name="_T90">Questions!$C$102</definedName>
    <definedName name="_T91">Questions!$C$103</definedName>
    <definedName name="_T92">Questions!$C$104</definedName>
    <definedName name="_T93">Questions!$C$105</definedName>
    <definedName name="_T94">Questions!$C$106</definedName>
    <definedName name="_T95">Questions!$C$107</definedName>
    <definedName name="_T96">Questions!$C$108</definedName>
    <definedName name="_T97">Questions!$C$109</definedName>
    <definedName name="_T98">Questions!$C$110</definedName>
    <definedName name="_T99">Questions!$C$111</definedName>
    <definedName name="_UT50">Questions!$C$62</definedName>
    <definedName name="_xlnm.Print_Area" localSheetId="5">'Credits and Notes'!$B$2:$B$31</definedName>
    <definedName name="_xlnm.Print_Area" localSheetId="2">'The MID Report'!$A$1:$R$533</definedName>
    <definedName name="solver_eng" localSheetId="1" hidden="1">1</definedName>
    <definedName name="solver_lin" localSheetId="1" hidden="1">2</definedName>
    <definedName name="solver_neg" localSheetId="1" hidden="1">1</definedName>
    <definedName name="solver_num" localSheetId="1" hidden="1">0</definedName>
    <definedName name="solver_opt" localSheetId="1" hidden="1">Calculations!$C$497</definedName>
    <definedName name="solver_typ" localSheetId="1" hidden="1">1</definedName>
    <definedName name="solver_val" localSheetId="1" hidden="1">0</definedName>
    <definedName name="solver_ver" localSheetId="1" hidden="1">2</definedName>
    <definedName name="Z_B1378614_543A_7248_A620_ABE87072D4CE_.wvu.Cols" localSheetId="0" hidden="1">Questions!$D:$D</definedName>
    <definedName name="Z_B1378614_543A_7248_A620_ABE87072D4CE_.wvu.PrintArea" localSheetId="5" hidden="1">'Credits and Notes'!$B$2:$B$31</definedName>
    <definedName name="Z_B1378614_543A_7248_A620_ABE87072D4CE_.wvu.PrintArea" localSheetId="2" hidden="1">'The MID Report'!$A$1:$R$533</definedName>
    <definedName name="Z_DB569172_C410_4CCD_B270_56E8B6227EED_.wvu.Cols" localSheetId="0" hidden="1">Questions!$D:$D</definedName>
    <definedName name="Z_DB569172_C410_4CCD_B270_56E8B6227EED_.wvu.PrintArea" localSheetId="5" hidden="1">'Credits and Notes'!$B$2:$B$31</definedName>
    <definedName name="Z_DB569172_C410_4CCD_B270_56E8B6227EED_.wvu.PrintArea" localSheetId="2" hidden="1">'The MID Report'!$A$1:$R$533</definedName>
  </definedNames>
  <calcPr calcId="191029"/>
  <customWorkbookViews>
    <customWorkbookView name="D. Michael Coy, MA, LICSW - Personal View" guid="{B1378614-543A-7248-A620-ABE87072D4CE}" mergeInterval="0" personalView="1" xWindow="736" yWindow="25" windowWidth="1335" windowHeight="853" tabRatio="723" activeSheetId="3"/>
    <customWorkbookView name="dmcoylicsw - Personal View" guid="{DB569172-C410-4CCD-B270-56E8B6227EED}" mergeInterval="0" personalView="1" xWindow="493" yWindow="258" windowWidth="1920" windowHeight="1025" tabRatio="723" activeSheetId="1"/>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16" i="2" l="1"/>
  <c r="C417" i="2"/>
  <c r="C399" i="2" l="1"/>
  <c r="C409" i="2"/>
  <c r="D475" i="2" l="1"/>
  <c r="D445" i="2"/>
  <c r="D428" i="2"/>
  <c r="D388" i="2"/>
  <c r="D347" i="2"/>
  <c r="D315" i="2"/>
  <c r="D6" i="3"/>
  <c r="M8" i="3"/>
  <c r="M7" i="3"/>
  <c r="D8" i="3"/>
  <c r="D7" i="3"/>
  <c r="F454" i="3"/>
  <c r="B454" i="3"/>
  <c r="F484" i="3" l="1"/>
  <c r="F483" i="3"/>
  <c r="F482" i="3"/>
  <c r="F481" i="3"/>
  <c r="F480" i="3"/>
  <c r="B484" i="3"/>
  <c r="B483" i="3"/>
  <c r="B482" i="3"/>
  <c r="B481" i="3"/>
  <c r="B480" i="3"/>
  <c r="B269" i="3" l="1"/>
  <c r="F269" i="3"/>
  <c r="F268" i="3"/>
  <c r="B268" i="3"/>
  <c r="C490" i="2" l="1"/>
  <c r="C489" i="2"/>
  <c r="C488" i="2"/>
  <c r="C487" i="2"/>
  <c r="C486" i="2"/>
  <c r="C485" i="2"/>
  <c r="C484" i="2"/>
  <c r="C483" i="2"/>
  <c r="C482" i="2"/>
  <c r="C481" i="2"/>
  <c r="C480" i="2"/>
  <c r="C479" i="2"/>
  <c r="C478" i="2"/>
  <c r="C472" i="2"/>
  <c r="C471" i="2"/>
  <c r="C470" i="2"/>
  <c r="C469" i="2"/>
  <c r="C468" i="2"/>
  <c r="C467" i="2"/>
  <c r="C464" i="2"/>
  <c r="C463" i="2"/>
  <c r="C462" i="2"/>
  <c r="C461" i="2"/>
  <c r="C460" i="2"/>
  <c r="C459" i="2"/>
  <c r="C458" i="2"/>
  <c r="C457" i="2"/>
  <c r="C456" i="2"/>
  <c r="C455" i="2"/>
  <c r="C454" i="2"/>
  <c r="C453" i="2"/>
  <c r="C452" i="2"/>
  <c r="C449" i="2" l="1"/>
  <c r="C448" i="2"/>
  <c r="E46" i="2" l="1"/>
  <c r="E48" i="2" s="1"/>
  <c r="F46" i="2"/>
  <c r="F48" i="2" s="1"/>
  <c r="G46" i="2"/>
  <c r="G48" i="2" s="1"/>
  <c r="H46" i="2"/>
  <c r="H48" i="2" s="1"/>
  <c r="I46" i="2"/>
  <c r="I48" i="2" s="1"/>
  <c r="J46" i="2"/>
  <c r="J48" i="2" s="1"/>
  <c r="K46" i="2"/>
  <c r="K48" i="2" s="1"/>
  <c r="L46" i="2"/>
  <c r="L48" i="2" s="1"/>
  <c r="M46" i="2"/>
  <c r="M48" i="2" s="1"/>
  <c r="N46" i="2"/>
  <c r="N48" i="2" s="1"/>
  <c r="O46" i="2"/>
  <c r="O48" i="2" s="1"/>
  <c r="P46" i="2"/>
  <c r="P48" i="2" s="1"/>
  <c r="E38" i="2"/>
  <c r="E40" i="2" s="1"/>
  <c r="F38" i="2"/>
  <c r="F40" i="2" s="1"/>
  <c r="G38" i="2"/>
  <c r="G40" i="2" s="1"/>
  <c r="H38" i="2"/>
  <c r="H40" i="2" s="1"/>
  <c r="I38" i="2"/>
  <c r="I40" i="2" s="1"/>
  <c r="J38" i="2"/>
  <c r="J40" i="2" s="1"/>
  <c r="K38" i="2"/>
  <c r="K40" i="2" s="1"/>
  <c r="L38" i="2"/>
  <c r="L40" i="2" s="1"/>
  <c r="M38" i="2"/>
  <c r="M40" i="2" s="1"/>
  <c r="N38" i="2"/>
  <c r="N40" i="2" s="1"/>
  <c r="O38" i="2"/>
  <c r="O40" i="2" s="1"/>
  <c r="P38" i="2"/>
  <c r="P40" i="2" s="1"/>
  <c r="E42" i="2"/>
  <c r="E44" i="2" s="1"/>
  <c r="F42" i="2"/>
  <c r="F44" i="2" s="1"/>
  <c r="G42" i="2"/>
  <c r="G44" i="2" s="1"/>
  <c r="H42" i="2"/>
  <c r="H44" i="2" s="1"/>
  <c r="I42" i="2"/>
  <c r="I44" i="2" s="1"/>
  <c r="J42" i="2"/>
  <c r="J44" i="2" s="1"/>
  <c r="K42" i="2"/>
  <c r="K44" i="2" s="1"/>
  <c r="L42" i="2"/>
  <c r="L44" i="2" s="1"/>
  <c r="M42" i="2"/>
  <c r="M44" i="2" s="1"/>
  <c r="N42" i="2"/>
  <c r="N44" i="2" s="1"/>
  <c r="O42" i="2"/>
  <c r="O44" i="2" s="1"/>
  <c r="P42" i="2"/>
  <c r="P44" i="2" s="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E34" i="2"/>
  <c r="E36" i="2" s="1"/>
  <c r="F34" i="2"/>
  <c r="F36" i="2" s="1"/>
  <c r="G34" i="2"/>
  <c r="G36" i="2" s="1"/>
  <c r="H34" i="2"/>
  <c r="H36" i="2" s="1"/>
  <c r="I34" i="2"/>
  <c r="I36" i="2" s="1"/>
  <c r="J34" i="2"/>
  <c r="J36" i="2" s="1"/>
  <c r="K34" i="2"/>
  <c r="K36" i="2" s="1"/>
  <c r="L34" i="2"/>
  <c r="L36" i="2" s="1"/>
  <c r="M34" i="2"/>
  <c r="M36" i="2" s="1"/>
  <c r="N34" i="2"/>
  <c r="N36" i="2" s="1"/>
  <c r="O34" i="2"/>
  <c r="O36" i="2" s="1"/>
  <c r="P34" i="2"/>
  <c r="P36" i="2" s="1"/>
  <c r="E27" i="2"/>
  <c r="E29" i="2" s="1"/>
  <c r="F27" i="2"/>
  <c r="F29" i="2" s="1"/>
  <c r="G27" i="2"/>
  <c r="G29" i="2" s="1"/>
  <c r="H27" i="2"/>
  <c r="H29" i="2" s="1"/>
  <c r="I27" i="2"/>
  <c r="I29" i="2" s="1"/>
  <c r="J27" i="2"/>
  <c r="J29" i="2" s="1"/>
  <c r="K27" i="2"/>
  <c r="K29" i="2" s="1"/>
  <c r="E19" i="2"/>
  <c r="E21" i="2" s="1"/>
  <c r="F19" i="2"/>
  <c r="F21" i="2" s="1"/>
  <c r="G19" i="2"/>
  <c r="G21" i="2" s="1"/>
  <c r="H19" i="2"/>
  <c r="H21" i="2" s="1"/>
  <c r="I19" i="2"/>
  <c r="I21" i="2" s="1"/>
  <c r="J19" i="2"/>
  <c r="J21" i="2" s="1"/>
  <c r="K19" i="2"/>
  <c r="K21" i="2" s="1"/>
  <c r="E15" i="2"/>
  <c r="E17" i="2" s="1"/>
  <c r="F15" i="2"/>
  <c r="F17" i="2" s="1"/>
  <c r="G15" i="2"/>
  <c r="G17" i="2" s="1"/>
  <c r="H15" i="2"/>
  <c r="H17" i="2" s="1"/>
  <c r="I15" i="2"/>
  <c r="I17" i="2" s="1"/>
  <c r="J15" i="2"/>
  <c r="J17" i="2" s="1"/>
  <c r="K15" i="2"/>
  <c r="K17" i="2" s="1"/>
  <c r="L15" i="2"/>
  <c r="L17" i="2" s="1"/>
  <c r="M15" i="2"/>
  <c r="M17" i="2" s="1"/>
  <c r="N15" i="2"/>
  <c r="N17" i="2" s="1"/>
  <c r="O15" i="2"/>
  <c r="O17" i="2" s="1"/>
  <c r="P15" i="2"/>
  <c r="P17" i="2" s="1"/>
  <c r="E23" i="2"/>
  <c r="E25" i="2" s="1"/>
  <c r="F23" i="2"/>
  <c r="F25" i="2" s="1"/>
  <c r="G23" i="2"/>
  <c r="G25" i="2" s="1"/>
  <c r="H23" i="2"/>
  <c r="H25" i="2" s="1"/>
  <c r="I23" i="2"/>
  <c r="I25" i="2" s="1"/>
  <c r="J23" i="2"/>
  <c r="J25" i="2" s="1"/>
  <c r="K23" i="2"/>
  <c r="K25" i="2" s="1"/>
  <c r="L23" i="2"/>
  <c r="L25" i="2" s="1"/>
  <c r="M23" i="2"/>
  <c r="M25" i="2" s="1"/>
  <c r="N23" i="2"/>
  <c r="N25" i="2" s="1"/>
  <c r="O23" i="2"/>
  <c r="O25" i="2" s="1"/>
  <c r="P23" i="2"/>
  <c r="P25" i="2" s="1"/>
  <c r="E11" i="2"/>
  <c r="E13" i="2" s="1"/>
  <c r="F11" i="2"/>
  <c r="F13" i="2" s="1"/>
  <c r="G11" i="2"/>
  <c r="G13" i="2" s="1"/>
  <c r="H11" i="2"/>
  <c r="H13" i="2" s="1"/>
  <c r="I11" i="2"/>
  <c r="I13" i="2" s="1"/>
  <c r="J11" i="2"/>
  <c r="J13" i="2" s="1"/>
  <c r="K11" i="2"/>
  <c r="K13" i="2" s="1"/>
  <c r="L11" i="2"/>
  <c r="L13" i="2" s="1"/>
  <c r="M11" i="2"/>
  <c r="M13" i="2" s="1"/>
  <c r="N11" i="2"/>
  <c r="N13" i="2" s="1"/>
  <c r="O11" i="2"/>
  <c r="O13" i="2" s="1"/>
  <c r="P11" i="2"/>
  <c r="P13" i="2" s="1"/>
  <c r="E50" i="2"/>
  <c r="E52" i="2" s="1"/>
  <c r="F50" i="2"/>
  <c r="F52" i="2" s="1"/>
  <c r="G50" i="2"/>
  <c r="G52" i="2" s="1"/>
  <c r="H50" i="2"/>
  <c r="H52" i="2" s="1"/>
  <c r="I50" i="2"/>
  <c r="I52" i="2" s="1"/>
  <c r="J50" i="2"/>
  <c r="J52" i="2" s="1"/>
  <c r="K50" i="2"/>
  <c r="K52" i="2" s="1"/>
  <c r="L50" i="2"/>
  <c r="L52" i="2" s="1"/>
  <c r="M50" i="2"/>
  <c r="M52" i="2" s="1"/>
  <c r="N50" i="2"/>
  <c r="N52" i="2" s="1"/>
  <c r="O50" i="2"/>
  <c r="O52" i="2" s="1"/>
  <c r="P50" i="2"/>
  <c r="P52" i="2" s="1"/>
  <c r="E54" i="2"/>
  <c r="E56" i="2" s="1"/>
  <c r="F54" i="2"/>
  <c r="G54" i="2"/>
  <c r="G56" i="2" s="1"/>
  <c r="H54" i="2"/>
  <c r="H56" i="2" s="1"/>
  <c r="I54" i="2"/>
  <c r="I56" i="2" s="1"/>
  <c r="J54" i="2"/>
  <c r="J56" i="2" s="1"/>
  <c r="K54" i="2"/>
  <c r="K56" i="2" s="1"/>
  <c r="L54" i="2"/>
  <c r="L56" i="2" s="1"/>
  <c r="M54" i="2"/>
  <c r="M56" i="2" s="1"/>
  <c r="N54" i="2"/>
  <c r="N56" i="2" s="1"/>
  <c r="O54" i="2"/>
  <c r="O56" i="2" s="1"/>
  <c r="P54" i="2"/>
  <c r="P56" i="2" s="1"/>
  <c r="E58" i="2"/>
  <c r="E60" i="2" s="1"/>
  <c r="F58" i="2"/>
  <c r="G58" i="2"/>
  <c r="G60" i="2" s="1"/>
  <c r="H58" i="2"/>
  <c r="H60" i="2" s="1"/>
  <c r="I58" i="2"/>
  <c r="I60" i="2" s="1"/>
  <c r="J58" i="2"/>
  <c r="J60" i="2" s="1"/>
  <c r="K58" i="2"/>
  <c r="K60" i="2" s="1"/>
  <c r="L58" i="2"/>
  <c r="L60" i="2" s="1"/>
  <c r="M58" i="2"/>
  <c r="M60" i="2" s="1"/>
  <c r="N58" i="2"/>
  <c r="N60" i="2" s="1"/>
  <c r="O58" i="2"/>
  <c r="O60" i="2" s="1"/>
  <c r="P58" i="2"/>
  <c r="P60" i="2" s="1"/>
  <c r="E62" i="2"/>
  <c r="E64" i="2" s="1"/>
  <c r="F62" i="2"/>
  <c r="G62" i="2"/>
  <c r="G64" i="2" s="1"/>
  <c r="H62" i="2"/>
  <c r="H64" i="2" s="1"/>
  <c r="I62" i="2"/>
  <c r="I64" i="2" s="1"/>
  <c r="J62" i="2"/>
  <c r="J64" i="2" s="1"/>
  <c r="K62" i="2"/>
  <c r="K64" i="2" s="1"/>
  <c r="L62" i="2"/>
  <c r="L64" i="2" s="1"/>
  <c r="M62" i="2"/>
  <c r="M64" i="2" s="1"/>
  <c r="N62" i="2"/>
  <c r="N64" i="2" s="1"/>
  <c r="O62" i="2"/>
  <c r="O64" i="2" s="1"/>
  <c r="P62" i="2"/>
  <c r="P64" i="2" s="1"/>
  <c r="E66" i="2"/>
  <c r="E68" i="2" s="1"/>
  <c r="F66" i="2"/>
  <c r="F68" i="2" s="1"/>
  <c r="G66" i="2"/>
  <c r="G68" i="2" s="1"/>
  <c r="H66" i="2"/>
  <c r="H68" i="2" s="1"/>
  <c r="I66" i="2"/>
  <c r="I68" i="2" s="1"/>
  <c r="J66" i="2"/>
  <c r="J68" i="2" s="1"/>
  <c r="K66" i="2"/>
  <c r="K68" i="2" s="1"/>
  <c r="L66" i="2"/>
  <c r="L68" i="2" s="1"/>
  <c r="M66" i="2"/>
  <c r="M68" i="2" s="1"/>
  <c r="N66" i="2"/>
  <c r="N68" i="2" s="1"/>
  <c r="O66" i="2"/>
  <c r="O68" i="2" s="1"/>
  <c r="P66" i="2"/>
  <c r="P68" i="2" s="1"/>
  <c r="E70" i="2"/>
  <c r="E72" i="2" s="1"/>
  <c r="F70" i="2"/>
  <c r="F72" i="2" s="1"/>
  <c r="G70" i="2"/>
  <c r="G72" i="2" s="1"/>
  <c r="H70" i="2"/>
  <c r="H72" i="2" s="1"/>
  <c r="I70" i="2"/>
  <c r="I72" i="2" s="1"/>
  <c r="J70" i="2"/>
  <c r="J72" i="2" s="1"/>
  <c r="K70" i="2"/>
  <c r="K72" i="2" s="1"/>
  <c r="L70" i="2"/>
  <c r="L72" i="2" s="1"/>
  <c r="M70" i="2"/>
  <c r="M72" i="2" s="1"/>
  <c r="N70" i="2"/>
  <c r="N72" i="2" s="1"/>
  <c r="O70" i="2"/>
  <c r="O72" i="2" s="1"/>
  <c r="P70" i="2"/>
  <c r="P72" i="2" s="1"/>
  <c r="E74" i="2"/>
  <c r="E76" i="2" s="1"/>
  <c r="F74" i="2"/>
  <c r="G74" i="2"/>
  <c r="G76" i="2" s="1"/>
  <c r="H74" i="2"/>
  <c r="H76" i="2" s="1"/>
  <c r="I74" i="2"/>
  <c r="I76" i="2" s="1"/>
  <c r="J74" i="2"/>
  <c r="J76" i="2" s="1"/>
  <c r="K74" i="2"/>
  <c r="K76" i="2" s="1"/>
  <c r="L74" i="2"/>
  <c r="L76" i="2" s="1"/>
  <c r="M74" i="2"/>
  <c r="M76" i="2" s="1"/>
  <c r="N74" i="2"/>
  <c r="N76" i="2" s="1"/>
  <c r="O74" i="2"/>
  <c r="O76" i="2" s="1"/>
  <c r="P74" i="2"/>
  <c r="P76" i="2" s="1"/>
  <c r="E78" i="2"/>
  <c r="E80" i="2" s="1"/>
  <c r="F78" i="2"/>
  <c r="G78" i="2"/>
  <c r="G80" i="2" s="1"/>
  <c r="H78" i="2"/>
  <c r="H80" i="2" s="1"/>
  <c r="I78" i="2"/>
  <c r="I80" i="2" s="1"/>
  <c r="J78" i="2"/>
  <c r="J80" i="2" s="1"/>
  <c r="K78" i="2"/>
  <c r="K80" i="2" s="1"/>
  <c r="L78" i="2"/>
  <c r="L80" i="2" s="1"/>
  <c r="M78" i="2"/>
  <c r="M80" i="2" s="1"/>
  <c r="N78" i="2"/>
  <c r="N80" i="2" s="1"/>
  <c r="O78" i="2"/>
  <c r="O80" i="2" s="1"/>
  <c r="P78" i="2"/>
  <c r="P80" i="2" s="1"/>
  <c r="E82" i="2"/>
  <c r="E84" i="2" s="1"/>
  <c r="F82" i="2"/>
  <c r="F84" i="2" s="1"/>
  <c r="G82" i="2"/>
  <c r="G84" i="2" s="1"/>
  <c r="H82" i="2"/>
  <c r="H84" i="2" s="1"/>
  <c r="I82" i="2"/>
  <c r="I84" i="2" s="1"/>
  <c r="J82" i="2"/>
  <c r="J84" i="2" s="1"/>
  <c r="K82" i="2"/>
  <c r="K84" i="2" s="1"/>
  <c r="L82" i="2"/>
  <c r="L84" i="2" s="1"/>
  <c r="M82" i="2"/>
  <c r="M84" i="2" s="1"/>
  <c r="N82" i="2"/>
  <c r="N84" i="2" s="1"/>
  <c r="O82" i="2"/>
  <c r="O84" i="2" s="1"/>
  <c r="P82" i="2"/>
  <c r="P84" i="2" s="1"/>
  <c r="E86" i="2"/>
  <c r="E88" i="2" s="1"/>
  <c r="F86" i="2"/>
  <c r="F88" i="2" s="1"/>
  <c r="G86" i="2"/>
  <c r="G88" i="2" s="1"/>
  <c r="H86" i="2"/>
  <c r="H88" i="2" s="1"/>
  <c r="I86" i="2"/>
  <c r="I88" i="2" s="1"/>
  <c r="J86" i="2"/>
  <c r="J88" i="2" s="1"/>
  <c r="K86" i="2"/>
  <c r="K88" i="2" s="1"/>
  <c r="L86" i="2"/>
  <c r="L88" i="2" s="1"/>
  <c r="M86" i="2"/>
  <c r="M88" i="2" s="1"/>
  <c r="N86" i="2"/>
  <c r="N88" i="2" s="1"/>
  <c r="O86" i="2"/>
  <c r="O88" i="2" s="1"/>
  <c r="P86" i="2"/>
  <c r="P88" i="2" s="1"/>
  <c r="D239" i="2"/>
  <c r="F524" i="3"/>
  <c r="B524" i="3"/>
  <c r="F523" i="3"/>
  <c r="B523" i="3"/>
  <c r="F522" i="3"/>
  <c r="B522" i="3"/>
  <c r="F521" i="3"/>
  <c r="B521" i="3"/>
  <c r="F520" i="3"/>
  <c r="B520" i="3"/>
  <c r="F519" i="3"/>
  <c r="B519" i="3"/>
  <c r="F518" i="3"/>
  <c r="B518" i="3"/>
  <c r="F517" i="3"/>
  <c r="B517" i="3"/>
  <c r="F516" i="3"/>
  <c r="B516" i="3"/>
  <c r="F515" i="3"/>
  <c r="B515" i="3"/>
  <c r="F514" i="3"/>
  <c r="B514" i="3"/>
  <c r="E286" i="2"/>
  <c r="E288" i="2" s="1"/>
  <c r="F286" i="2"/>
  <c r="F288" i="2" s="1"/>
  <c r="E290" i="2"/>
  <c r="F290" i="2"/>
  <c r="F292" i="2" s="1"/>
  <c r="E294" i="2"/>
  <c r="F294" i="2"/>
  <c r="F296" i="2" s="1"/>
  <c r="E298" i="2"/>
  <c r="E300" i="2" s="1"/>
  <c r="F298" i="2"/>
  <c r="F300" i="2" s="1"/>
  <c r="G298" i="2"/>
  <c r="G300" i="2" s="1"/>
  <c r="E302" i="2"/>
  <c r="E304" i="2" s="1"/>
  <c r="E136" i="2"/>
  <c r="E138" i="2" s="1"/>
  <c r="F136" i="2"/>
  <c r="F138" i="2" s="1"/>
  <c r="G136" i="2"/>
  <c r="G138" i="2" s="1"/>
  <c r="H136" i="2"/>
  <c r="H138" i="2" s="1"/>
  <c r="I136" i="2"/>
  <c r="I138" i="2" s="1"/>
  <c r="J136" i="2"/>
  <c r="J138" i="2" s="1"/>
  <c r="K136" i="2"/>
  <c r="K138" i="2" s="1"/>
  <c r="L136" i="2"/>
  <c r="L138" i="2" s="1"/>
  <c r="M136" i="2"/>
  <c r="M138" i="2" s="1"/>
  <c r="N136" i="2"/>
  <c r="N138" i="2" s="1"/>
  <c r="O136" i="2"/>
  <c r="O138" i="2" s="1"/>
  <c r="P136" i="2"/>
  <c r="P138" i="2" s="1"/>
  <c r="F181" i="3"/>
  <c r="F180" i="3"/>
  <c r="B181" i="3"/>
  <c r="B180" i="3"/>
  <c r="F508" i="3"/>
  <c r="B198" i="3"/>
  <c r="F198" i="3"/>
  <c r="B199" i="3"/>
  <c r="F199" i="3"/>
  <c r="B200" i="3"/>
  <c r="F200" i="3"/>
  <c r="B201" i="3"/>
  <c r="F201" i="3"/>
  <c r="B508" i="3"/>
  <c r="F504" i="3"/>
  <c r="B504" i="3"/>
  <c r="F503" i="3"/>
  <c r="B503" i="3"/>
  <c r="F502" i="3"/>
  <c r="B502" i="3"/>
  <c r="F501" i="3"/>
  <c r="B501" i="3"/>
  <c r="F499" i="3"/>
  <c r="B499" i="3"/>
  <c r="F498" i="3"/>
  <c r="B498" i="3"/>
  <c r="F497" i="3"/>
  <c r="B497" i="3"/>
  <c r="F496" i="3"/>
  <c r="B496" i="3"/>
  <c r="F489" i="3"/>
  <c r="B489" i="3"/>
  <c r="F488" i="3"/>
  <c r="B488" i="3"/>
  <c r="F487" i="3"/>
  <c r="B487" i="3"/>
  <c r="F486" i="3"/>
  <c r="B486" i="3"/>
  <c r="F478" i="3"/>
  <c r="F477" i="3"/>
  <c r="F476" i="3"/>
  <c r="B478" i="3"/>
  <c r="B477" i="3"/>
  <c r="B476" i="3"/>
  <c r="F475" i="3"/>
  <c r="B475" i="3"/>
  <c r="F474" i="3"/>
  <c r="B474" i="3"/>
  <c r="F472" i="3"/>
  <c r="B472" i="3"/>
  <c r="F471" i="3"/>
  <c r="B471" i="3"/>
  <c r="F470" i="3"/>
  <c r="B470" i="3"/>
  <c r="F469" i="3"/>
  <c r="B469" i="3"/>
  <c r="F468" i="3"/>
  <c r="B468" i="3"/>
  <c r="F467" i="3"/>
  <c r="B467" i="3"/>
  <c r="F465" i="3"/>
  <c r="B465" i="3"/>
  <c r="F464" i="3"/>
  <c r="B464" i="3"/>
  <c r="F463" i="3"/>
  <c r="B463" i="3"/>
  <c r="F462" i="3"/>
  <c r="B462" i="3"/>
  <c r="F461" i="3"/>
  <c r="B461" i="3"/>
  <c r="F458" i="3"/>
  <c r="B458" i="3"/>
  <c r="F460" i="3"/>
  <c r="B460" i="3"/>
  <c r="B297" i="3"/>
  <c r="F297" i="3"/>
  <c r="F287" i="3"/>
  <c r="B287" i="3"/>
  <c r="G144" i="2"/>
  <c r="G146" i="2" s="1"/>
  <c r="F144" i="2"/>
  <c r="F146" i="2" s="1"/>
  <c r="K246" i="2"/>
  <c r="K248" i="2" s="1"/>
  <c r="J246" i="2"/>
  <c r="J248" i="2" s="1"/>
  <c r="I246" i="2"/>
  <c r="I248" i="2" s="1"/>
  <c r="H246" i="2"/>
  <c r="H248" i="2" s="1"/>
  <c r="G246" i="2"/>
  <c r="G248" i="2" s="1"/>
  <c r="F246" i="2"/>
  <c r="F248" i="2" s="1"/>
  <c r="E148" i="2"/>
  <c r="F148" i="2"/>
  <c r="F150" i="2" s="1"/>
  <c r="G148" i="2"/>
  <c r="G150" i="2" s="1"/>
  <c r="H148" i="2"/>
  <c r="H150" i="2" s="1"/>
  <c r="I148" i="2"/>
  <c r="I150" i="2" s="1"/>
  <c r="J148" i="2"/>
  <c r="J150" i="2" s="1"/>
  <c r="K148" i="2"/>
  <c r="K150" i="2" s="1"/>
  <c r="L148" i="2"/>
  <c r="L150" i="2" s="1"/>
  <c r="M148" i="2"/>
  <c r="M150" i="2" s="1"/>
  <c r="N148" i="2"/>
  <c r="N150" i="2" s="1"/>
  <c r="B428" i="3"/>
  <c r="D220" i="2"/>
  <c r="D430" i="2" s="1"/>
  <c r="H310" i="2"/>
  <c r="H312" i="2" s="1"/>
  <c r="G310" i="2"/>
  <c r="G312" i="2" s="1"/>
  <c r="E310" i="2"/>
  <c r="E312" i="2" s="1"/>
  <c r="F310" i="2"/>
  <c r="F312" i="2" s="1"/>
  <c r="F356" i="3"/>
  <c r="L68" i="3"/>
  <c r="L63" i="3"/>
  <c r="E144" i="2"/>
  <c r="E146" i="2" s="1"/>
  <c r="E152" i="2"/>
  <c r="E154" i="2" s="1"/>
  <c r="F152" i="2"/>
  <c r="F154" i="2" s="1"/>
  <c r="G152" i="2"/>
  <c r="H152" i="2"/>
  <c r="H154" i="2" s="1"/>
  <c r="I152" i="2"/>
  <c r="I154" i="2" s="1"/>
  <c r="E156" i="2"/>
  <c r="E158" i="2" s="1"/>
  <c r="F156" i="2"/>
  <c r="F158" i="2" s="1"/>
  <c r="G156" i="2"/>
  <c r="G158" i="2" s="1"/>
  <c r="E160" i="2"/>
  <c r="E162" i="2" s="1"/>
  <c r="F160" i="2"/>
  <c r="F162" i="2" s="1"/>
  <c r="G160" i="2"/>
  <c r="G162" i="2" s="1"/>
  <c r="H160" i="2"/>
  <c r="H162" i="2" s="1"/>
  <c r="I160" i="2"/>
  <c r="I162" i="2" s="1"/>
  <c r="E164" i="2"/>
  <c r="E166" i="2" s="1"/>
  <c r="F164" i="2"/>
  <c r="F166" i="2" s="1"/>
  <c r="G164" i="2"/>
  <c r="G166" i="2" s="1"/>
  <c r="H164" i="2"/>
  <c r="H166" i="2" s="1"/>
  <c r="I164" i="2"/>
  <c r="I166" i="2" s="1"/>
  <c r="J164" i="2"/>
  <c r="J166" i="2" s="1"/>
  <c r="K164" i="2"/>
  <c r="K166" i="2" s="1"/>
  <c r="E168" i="2"/>
  <c r="E170" i="2" s="1"/>
  <c r="F168" i="2"/>
  <c r="F170" i="2" s="1"/>
  <c r="G168" i="2"/>
  <c r="G170" i="2" s="1"/>
  <c r="E172" i="2"/>
  <c r="E174" i="2" s="1"/>
  <c r="F172" i="2"/>
  <c r="F174" i="2" s="1"/>
  <c r="G172" i="2"/>
  <c r="G174" i="2" s="1"/>
  <c r="H172" i="2"/>
  <c r="H174" i="2" s="1"/>
  <c r="I172" i="2"/>
  <c r="I174" i="2" s="1"/>
  <c r="J172" i="2"/>
  <c r="J174" i="2" s="1"/>
  <c r="K172" i="2"/>
  <c r="K174" i="2" s="1"/>
  <c r="L172" i="2"/>
  <c r="L174" i="2" s="1"/>
  <c r="M172" i="2"/>
  <c r="M174" i="2" s="1"/>
  <c r="E176" i="2"/>
  <c r="E178" i="2" s="1"/>
  <c r="F176" i="2"/>
  <c r="F178" i="2" s="1"/>
  <c r="G176" i="2"/>
  <c r="G178" i="2" s="1"/>
  <c r="H176" i="2"/>
  <c r="H178" i="2" s="1"/>
  <c r="I176" i="2"/>
  <c r="I178" i="2" s="1"/>
  <c r="E180" i="2"/>
  <c r="E182" i="2" s="1"/>
  <c r="F180" i="2"/>
  <c r="F182" i="2" s="1"/>
  <c r="G180" i="2"/>
  <c r="G182" i="2" s="1"/>
  <c r="H180" i="2"/>
  <c r="H182" i="2" s="1"/>
  <c r="I180" i="2"/>
  <c r="I182" i="2" s="1"/>
  <c r="J180" i="2"/>
  <c r="J182" i="2" s="1"/>
  <c r="K180" i="2"/>
  <c r="K182" i="2" s="1"/>
  <c r="L180" i="2"/>
  <c r="L182" i="2" s="1"/>
  <c r="M180" i="2"/>
  <c r="M182" i="2" s="1"/>
  <c r="N180" i="2"/>
  <c r="N182" i="2" s="1"/>
  <c r="O180" i="2"/>
  <c r="O182" i="2" s="1"/>
  <c r="P180" i="2"/>
  <c r="P182" i="2" s="1"/>
  <c r="E184" i="2"/>
  <c r="E186" i="2" s="1"/>
  <c r="F184" i="2"/>
  <c r="F186" i="2" s="1"/>
  <c r="G184" i="2"/>
  <c r="G186" i="2" s="1"/>
  <c r="H184" i="2"/>
  <c r="H186" i="2" s="1"/>
  <c r="I184" i="2"/>
  <c r="I186" i="2" s="1"/>
  <c r="J184" i="2"/>
  <c r="J186" i="2" s="1"/>
  <c r="K184" i="2"/>
  <c r="K186" i="2" s="1"/>
  <c r="L184" i="2"/>
  <c r="L186" i="2" s="1"/>
  <c r="E192" i="2"/>
  <c r="F192" i="2"/>
  <c r="F194" i="2" s="1"/>
  <c r="G192" i="2"/>
  <c r="G194" i="2" s="1"/>
  <c r="H192" i="2"/>
  <c r="H194" i="2" s="1"/>
  <c r="E196" i="2"/>
  <c r="E198" i="2" s="1"/>
  <c r="F196" i="2"/>
  <c r="F198" i="2" s="1"/>
  <c r="G196" i="2"/>
  <c r="G198" i="2" s="1"/>
  <c r="H196" i="2"/>
  <c r="H198" i="2" s="1"/>
  <c r="E200" i="2"/>
  <c r="E202" i="2" s="1"/>
  <c r="F200" i="2"/>
  <c r="F202" i="2" s="1"/>
  <c r="G200" i="2"/>
  <c r="G202" i="2" s="1"/>
  <c r="H200" i="2"/>
  <c r="H202" i="2" s="1"/>
  <c r="I200" i="2"/>
  <c r="I202" i="2" s="1"/>
  <c r="E205" i="2"/>
  <c r="F205" i="2"/>
  <c r="F207" i="2" s="1"/>
  <c r="G205" i="2"/>
  <c r="G207" i="2" s="1"/>
  <c r="H205" i="2"/>
  <c r="H207" i="2" s="1"/>
  <c r="E209" i="2"/>
  <c r="E211" i="2" s="1"/>
  <c r="F209" i="2"/>
  <c r="F211" i="2" s="1"/>
  <c r="G209" i="2"/>
  <c r="G211" i="2" s="1"/>
  <c r="H209" i="2"/>
  <c r="H211" i="2" s="1"/>
  <c r="E213" i="2"/>
  <c r="E215" i="2" s="1"/>
  <c r="F213" i="2"/>
  <c r="F215" i="2" s="1"/>
  <c r="G213" i="2"/>
  <c r="G215" i="2" s="1"/>
  <c r="H213" i="2"/>
  <c r="H215" i="2" s="1"/>
  <c r="I213" i="2"/>
  <c r="I215" i="2" s="1"/>
  <c r="M6" i="3"/>
  <c r="E132" i="2"/>
  <c r="E134" i="2" s="1"/>
  <c r="F132" i="2"/>
  <c r="F134" i="2" s="1"/>
  <c r="G132" i="2"/>
  <c r="G134" i="2" s="1"/>
  <c r="H132" i="2"/>
  <c r="H134" i="2" s="1"/>
  <c r="E100" i="2"/>
  <c r="E102" i="2" s="1"/>
  <c r="J100" i="2"/>
  <c r="J102" i="2" s="1"/>
  <c r="H100" i="2"/>
  <c r="H102" i="2" s="1"/>
  <c r="I100" i="2"/>
  <c r="I102" i="2" s="1"/>
  <c r="F100" i="2"/>
  <c r="F102" i="2" s="1"/>
  <c r="G100" i="2"/>
  <c r="G102" i="2" s="1"/>
  <c r="F108" i="2"/>
  <c r="F110" i="2" s="1"/>
  <c r="G108" i="2"/>
  <c r="G110" i="2" s="1"/>
  <c r="E108" i="2"/>
  <c r="E110" i="2" s="1"/>
  <c r="I108" i="2"/>
  <c r="I110" i="2" s="1"/>
  <c r="H108" i="2"/>
  <c r="H110" i="2" s="1"/>
  <c r="F120" i="2"/>
  <c r="F122" i="2" s="1"/>
  <c r="G120" i="2"/>
  <c r="G122" i="2" s="1"/>
  <c r="H120" i="2"/>
  <c r="H122" i="2" s="1"/>
  <c r="E120" i="2"/>
  <c r="H104" i="2"/>
  <c r="H106" i="2" s="1"/>
  <c r="I104" i="2"/>
  <c r="I106" i="2" s="1"/>
  <c r="F104" i="2"/>
  <c r="F106" i="2" s="1"/>
  <c r="G104" i="2"/>
  <c r="G106" i="2" s="1"/>
  <c r="E104" i="2"/>
  <c r="E106" i="2" s="1"/>
  <c r="H96" i="2"/>
  <c r="H98" i="2" s="1"/>
  <c r="G96" i="2"/>
  <c r="G98" i="2" s="1"/>
  <c r="F96" i="2"/>
  <c r="F98" i="2" s="1"/>
  <c r="E96" i="2"/>
  <c r="E98" i="2" s="1"/>
  <c r="J96" i="2"/>
  <c r="J98" i="2" s="1"/>
  <c r="I96" i="2"/>
  <c r="I98" i="2" s="1"/>
  <c r="H112" i="2"/>
  <c r="H114" i="2" s="1"/>
  <c r="F112" i="2"/>
  <c r="F114" i="2" s="1"/>
  <c r="G112" i="2"/>
  <c r="G114" i="2" s="1"/>
  <c r="E112" i="2"/>
  <c r="E114" i="2" s="1"/>
  <c r="G116" i="2"/>
  <c r="G118" i="2" s="1"/>
  <c r="H116" i="2"/>
  <c r="H118" i="2" s="1"/>
  <c r="F116" i="2"/>
  <c r="F118" i="2" s="1"/>
  <c r="E116" i="2"/>
  <c r="E118" i="2" s="1"/>
  <c r="E92" i="2"/>
  <c r="E94" i="2" s="1"/>
  <c r="D93" i="2" s="1"/>
  <c r="A93" i="2" s="1"/>
  <c r="F532" i="3"/>
  <c r="F413" i="3"/>
  <c r="B413" i="3"/>
  <c r="F412" i="3"/>
  <c r="B412" i="3"/>
  <c r="F411" i="3"/>
  <c r="B411" i="3"/>
  <c r="F410" i="3"/>
  <c r="B410" i="3"/>
  <c r="F409" i="3"/>
  <c r="B409" i="3"/>
  <c r="E246" i="2"/>
  <c r="E248" i="2" s="1"/>
  <c r="B108" i="3"/>
  <c r="B107" i="3"/>
  <c r="B100" i="3"/>
  <c r="B101" i="3"/>
  <c r="B84" i="3"/>
  <c r="F84" i="3"/>
  <c r="B85" i="3"/>
  <c r="F85" i="3"/>
  <c r="B86" i="3"/>
  <c r="F86" i="3"/>
  <c r="B87" i="3"/>
  <c r="F87" i="3"/>
  <c r="B88" i="3"/>
  <c r="F88" i="3"/>
  <c r="B89" i="3"/>
  <c r="F89" i="3"/>
  <c r="B90" i="3"/>
  <c r="F90" i="3"/>
  <c r="B91" i="3"/>
  <c r="F91" i="3"/>
  <c r="B92" i="3"/>
  <c r="F92" i="3"/>
  <c r="B93" i="3"/>
  <c r="F93" i="3"/>
  <c r="B94" i="3"/>
  <c r="F94" i="3"/>
  <c r="B95" i="3"/>
  <c r="F95" i="3"/>
  <c r="B110" i="3"/>
  <c r="F110" i="3"/>
  <c r="B111" i="3"/>
  <c r="F111" i="3"/>
  <c r="B112" i="3"/>
  <c r="F112" i="3"/>
  <c r="B113" i="3"/>
  <c r="F113" i="3"/>
  <c r="B114" i="3"/>
  <c r="F114" i="3"/>
  <c r="B115" i="3"/>
  <c r="F115" i="3"/>
  <c r="B116" i="3"/>
  <c r="F116" i="3"/>
  <c r="B117" i="3"/>
  <c r="F117" i="3"/>
  <c r="B118" i="3"/>
  <c r="F118" i="3"/>
  <c r="B119" i="3"/>
  <c r="F119" i="3"/>
  <c r="B120" i="3"/>
  <c r="F120" i="3"/>
  <c r="B121" i="3"/>
  <c r="F121" i="3"/>
  <c r="B123" i="3"/>
  <c r="F123" i="3"/>
  <c r="B124" i="3"/>
  <c r="F124" i="3"/>
  <c r="B125" i="3"/>
  <c r="F125" i="3"/>
  <c r="B126" i="3"/>
  <c r="F126" i="3"/>
  <c r="B127" i="3"/>
  <c r="F127" i="3"/>
  <c r="B128" i="3"/>
  <c r="F128" i="3"/>
  <c r="B129" i="3"/>
  <c r="F129" i="3"/>
  <c r="B97" i="3"/>
  <c r="F97" i="3"/>
  <c r="B98" i="3"/>
  <c r="F98" i="3"/>
  <c r="B99" i="3"/>
  <c r="F99" i="3"/>
  <c r="F100" i="3"/>
  <c r="F101" i="3"/>
  <c r="B102" i="3"/>
  <c r="F102" i="3"/>
  <c r="B103" i="3"/>
  <c r="F103" i="3"/>
  <c r="B104" i="3"/>
  <c r="F104" i="3"/>
  <c r="B105" i="3"/>
  <c r="F105" i="3"/>
  <c r="B106" i="3"/>
  <c r="F106" i="3"/>
  <c r="F107" i="3"/>
  <c r="F108" i="3"/>
  <c r="B131" i="3"/>
  <c r="F131" i="3"/>
  <c r="B132" i="3"/>
  <c r="F132" i="3"/>
  <c r="B133" i="3"/>
  <c r="F133" i="3"/>
  <c r="B134" i="3"/>
  <c r="F134" i="3"/>
  <c r="B135" i="3"/>
  <c r="F135" i="3"/>
  <c r="B136" i="3"/>
  <c r="F136" i="3"/>
  <c r="B137" i="3"/>
  <c r="F137" i="3"/>
  <c r="B206" i="3"/>
  <c r="F206" i="3"/>
  <c r="B207" i="3"/>
  <c r="F207" i="3"/>
  <c r="B208" i="3"/>
  <c r="F208" i="3"/>
  <c r="B209" i="3"/>
  <c r="F209" i="3"/>
  <c r="B210" i="3"/>
  <c r="F210" i="3"/>
  <c r="B211" i="3"/>
  <c r="F211" i="3"/>
  <c r="B212" i="3"/>
  <c r="F212" i="3"/>
  <c r="B213" i="3"/>
  <c r="F213" i="3"/>
  <c r="B214" i="3"/>
  <c r="F214" i="3"/>
  <c r="B215" i="3"/>
  <c r="F215" i="3"/>
  <c r="B216" i="3"/>
  <c r="F216" i="3"/>
  <c r="B217" i="3"/>
  <c r="F217" i="3"/>
  <c r="B219" i="3"/>
  <c r="F219" i="3"/>
  <c r="B220" i="3"/>
  <c r="F220" i="3"/>
  <c r="B221" i="3"/>
  <c r="F221" i="3"/>
  <c r="B222" i="3"/>
  <c r="F222" i="3"/>
  <c r="B223" i="3"/>
  <c r="F223" i="3"/>
  <c r="B224" i="3"/>
  <c r="F224" i="3"/>
  <c r="B225" i="3"/>
  <c r="F225" i="3"/>
  <c r="B226" i="3"/>
  <c r="F226" i="3"/>
  <c r="B227" i="3"/>
  <c r="F227" i="3"/>
  <c r="B228" i="3"/>
  <c r="F228" i="3"/>
  <c r="B229" i="3"/>
  <c r="F229" i="3"/>
  <c r="B230" i="3"/>
  <c r="F230" i="3"/>
  <c r="B232" i="3"/>
  <c r="F232" i="3"/>
  <c r="B233" i="3"/>
  <c r="F233" i="3"/>
  <c r="B234" i="3"/>
  <c r="F234" i="3"/>
  <c r="B235" i="3"/>
  <c r="F235" i="3"/>
  <c r="B236" i="3"/>
  <c r="F236" i="3"/>
  <c r="B237" i="3"/>
  <c r="F237" i="3"/>
  <c r="B238" i="3"/>
  <c r="F238" i="3"/>
  <c r="B239" i="3"/>
  <c r="F239" i="3"/>
  <c r="B240" i="3"/>
  <c r="F240" i="3"/>
  <c r="B241" i="3"/>
  <c r="F241" i="3"/>
  <c r="B242" i="3"/>
  <c r="F242" i="3"/>
  <c r="B243" i="3"/>
  <c r="F243" i="3"/>
  <c r="B245" i="3"/>
  <c r="F245" i="3"/>
  <c r="B246" i="3"/>
  <c r="F246" i="3"/>
  <c r="B247" i="3"/>
  <c r="F247" i="3"/>
  <c r="B248" i="3"/>
  <c r="F248" i="3"/>
  <c r="B249" i="3"/>
  <c r="F249" i="3"/>
  <c r="B250" i="3"/>
  <c r="F250" i="3"/>
  <c r="B251" i="3"/>
  <c r="F251" i="3"/>
  <c r="B252" i="3"/>
  <c r="F252" i="3"/>
  <c r="B253" i="3"/>
  <c r="F253" i="3"/>
  <c r="B254" i="3"/>
  <c r="F254" i="3"/>
  <c r="B255" i="3"/>
  <c r="F255" i="3"/>
  <c r="B256" i="3"/>
  <c r="F256" i="3"/>
  <c r="B258" i="3"/>
  <c r="F258" i="3"/>
  <c r="B259" i="3"/>
  <c r="F259" i="3"/>
  <c r="B260" i="3"/>
  <c r="F260" i="3"/>
  <c r="B261" i="3"/>
  <c r="F261" i="3"/>
  <c r="B262" i="3"/>
  <c r="F262" i="3"/>
  <c r="B263" i="3"/>
  <c r="F263" i="3"/>
  <c r="B264" i="3"/>
  <c r="F264" i="3"/>
  <c r="B265" i="3"/>
  <c r="F265" i="3"/>
  <c r="B266" i="3"/>
  <c r="F266" i="3"/>
  <c r="B267" i="3"/>
  <c r="F267" i="3"/>
  <c r="B277" i="3"/>
  <c r="F277" i="3"/>
  <c r="B278" i="3"/>
  <c r="F278" i="3"/>
  <c r="B279" i="3"/>
  <c r="F279" i="3"/>
  <c r="B280" i="3"/>
  <c r="F280" i="3"/>
  <c r="B281" i="3"/>
  <c r="F281" i="3"/>
  <c r="B282" i="3"/>
  <c r="F282" i="3"/>
  <c r="B283" i="3"/>
  <c r="F283" i="3"/>
  <c r="B284" i="3"/>
  <c r="F284" i="3"/>
  <c r="B285" i="3"/>
  <c r="F285" i="3"/>
  <c r="B286" i="3"/>
  <c r="F286" i="3"/>
  <c r="B288" i="3"/>
  <c r="F288" i="3"/>
  <c r="B289" i="3"/>
  <c r="F289" i="3"/>
  <c r="B293" i="3"/>
  <c r="F293" i="3"/>
  <c r="B294" i="3"/>
  <c r="F294" i="3"/>
  <c r="B295" i="3"/>
  <c r="F295" i="3"/>
  <c r="B298" i="3"/>
  <c r="F298" i="3"/>
  <c r="B299" i="3"/>
  <c r="F299" i="3"/>
  <c r="B300" i="3"/>
  <c r="F300" i="3"/>
  <c r="B301" i="3"/>
  <c r="F301" i="3"/>
  <c r="B302" i="3"/>
  <c r="F302" i="3"/>
  <c r="B303" i="3"/>
  <c r="F303" i="3"/>
  <c r="B304" i="3"/>
  <c r="F304" i="3"/>
  <c r="B305" i="3"/>
  <c r="F305" i="3"/>
  <c r="B306" i="3"/>
  <c r="F306" i="3"/>
  <c r="B308" i="3"/>
  <c r="F308" i="3"/>
  <c r="B309" i="3"/>
  <c r="F309" i="3"/>
  <c r="B310" i="3"/>
  <c r="F310" i="3"/>
  <c r="B311" i="3"/>
  <c r="F311" i="3"/>
  <c r="B312" i="3"/>
  <c r="F312" i="3"/>
  <c r="B314" i="3"/>
  <c r="F314" i="3"/>
  <c r="B315" i="3"/>
  <c r="F315" i="3"/>
  <c r="B316" i="3"/>
  <c r="F316" i="3"/>
  <c r="B318" i="3"/>
  <c r="F318" i="3"/>
  <c r="B319" i="3"/>
  <c r="F319" i="3"/>
  <c r="B320" i="3"/>
  <c r="F320" i="3"/>
  <c r="B321" i="3"/>
  <c r="F321" i="3"/>
  <c r="B322" i="3"/>
  <c r="F322" i="3"/>
  <c r="B324" i="3"/>
  <c r="F324" i="3"/>
  <c r="B325" i="3"/>
  <c r="F325" i="3"/>
  <c r="B326" i="3"/>
  <c r="F326" i="3"/>
  <c r="B327" i="3"/>
  <c r="F327" i="3"/>
  <c r="B328" i="3"/>
  <c r="F328" i="3"/>
  <c r="B329" i="3"/>
  <c r="F329" i="3"/>
  <c r="B330" i="3"/>
  <c r="F330" i="3"/>
  <c r="B332" i="3"/>
  <c r="F332" i="3"/>
  <c r="B333" i="3"/>
  <c r="F333" i="3"/>
  <c r="B334" i="3"/>
  <c r="F334" i="3"/>
  <c r="B336" i="3"/>
  <c r="F336" i="3"/>
  <c r="B337" i="3"/>
  <c r="F337" i="3"/>
  <c r="B338" i="3"/>
  <c r="F338" i="3"/>
  <c r="B339" i="3"/>
  <c r="F339" i="3"/>
  <c r="B340" i="3"/>
  <c r="F340" i="3"/>
  <c r="B341" i="3"/>
  <c r="F341" i="3"/>
  <c r="B342" i="3"/>
  <c r="F342" i="3"/>
  <c r="B343" i="3"/>
  <c r="F343" i="3"/>
  <c r="B344" i="3"/>
  <c r="F344" i="3"/>
  <c r="B353" i="3"/>
  <c r="F353" i="3"/>
  <c r="B354" i="3"/>
  <c r="F354" i="3"/>
  <c r="B355" i="3"/>
  <c r="F355" i="3"/>
  <c r="B356" i="3"/>
  <c r="B357" i="3"/>
  <c r="F357" i="3"/>
  <c r="B359" i="3"/>
  <c r="F359" i="3"/>
  <c r="B360" i="3"/>
  <c r="F360" i="3"/>
  <c r="B361" i="3"/>
  <c r="F361" i="3"/>
  <c r="B362" i="3"/>
  <c r="F362" i="3"/>
  <c r="B363" i="3"/>
  <c r="F363" i="3"/>
  <c r="B364" i="3"/>
  <c r="F364" i="3"/>
  <c r="B365" i="3"/>
  <c r="F365" i="3"/>
  <c r="B366" i="3"/>
  <c r="F366" i="3"/>
  <c r="B367" i="3"/>
  <c r="F367" i="3"/>
  <c r="B368" i="3"/>
  <c r="F368" i="3"/>
  <c r="B369" i="3"/>
  <c r="F369" i="3"/>
  <c r="B370" i="3"/>
  <c r="F370" i="3"/>
  <c r="B372" i="3"/>
  <c r="F372" i="3"/>
  <c r="B373" i="3"/>
  <c r="F373" i="3"/>
  <c r="B374" i="3"/>
  <c r="F374" i="3"/>
  <c r="B375" i="3"/>
  <c r="F375" i="3"/>
  <c r="B376" i="3"/>
  <c r="F376" i="3"/>
  <c r="B377" i="3"/>
  <c r="F377" i="3"/>
  <c r="B378" i="3"/>
  <c r="F378" i="3"/>
  <c r="B379" i="3"/>
  <c r="F379" i="3"/>
  <c r="B383" i="3"/>
  <c r="F383" i="3"/>
  <c r="B384" i="3"/>
  <c r="F384" i="3"/>
  <c r="B385" i="3"/>
  <c r="F385" i="3"/>
  <c r="B386" i="3"/>
  <c r="F386" i="3"/>
  <c r="B388" i="3"/>
  <c r="F388" i="3"/>
  <c r="B389" i="3"/>
  <c r="F389" i="3"/>
  <c r="B390" i="3"/>
  <c r="F390" i="3"/>
  <c r="B391" i="3"/>
  <c r="F391" i="3"/>
  <c r="B393" i="3"/>
  <c r="F393" i="3"/>
  <c r="B394" i="3"/>
  <c r="F394" i="3"/>
  <c r="B395" i="3"/>
  <c r="F395" i="3"/>
  <c r="B396" i="3"/>
  <c r="F396" i="3"/>
  <c r="B397" i="3"/>
  <c r="F397" i="3"/>
  <c r="B399" i="3"/>
  <c r="F399" i="3"/>
  <c r="B400" i="3"/>
  <c r="F400" i="3"/>
  <c r="B401" i="3"/>
  <c r="F401" i="3"/>
  <c r="B402" i="3"/>
  <c r="F402" i="3"/>
  <c r="B404" i="3"/>
  <c r="F404" i="3"/>
  <c r="B405" i="3"/>
  <c r="F405" i="3"/>
  <c r="B406" i="3"/>
  <c r="F406" i="3"/>
  <c r="B407" i="3"/>
  <c r="F407" i="3"/>
  <c r="B418" i="3"/>
  <c r="F418" i="3"/>
  <c r="B419" i="3"/>
  <c r="F419" i="3"/>
  <c r="B420" i="3"/>
  <c r="F420" i="3"/>
  <c r="B421" i="3"/>
  <c r="F421" i="3"/>
  <c r="B423" i="3"/>
  <c r="F423" i="3"/>
  <c r="B424" i="3"/>
  <c r="F424" i="3"/>
  <c r="B425" i="3"/>
  <c r="F425" i="3"/>
  <c r="B426" i="3"/>
  <c r="F426" i="3"/>
  <c r="B427" i="3"/>
  <c r="F427" i="3"/>
  <c r="B429" i="3"/>
  <c r="F429" i="3"/>
  <c r="B431" i="3"/>
  <c r="F431" i="3"/>
  <c r="B432" i="3"/>
  <c r="F432" i="3"/>
  <c r="B433" i="3"/>
  <c r="F433" i="3"/>
  <c r="B434" i="3"/>
  <c r="F434" i="3"/>
  <c r="B435" i="3"/>
  <c r="F435" i="3"/>
  <c r="B436" i="3"/>
  <c r="F436" i="3"/>
  <c r="B437" i="3"/>
  <c r="F437" i="3"/>
  <c r="B439" i="3"/>
  <c r="F439" i="3"/>
  <c r="B441" i="3"/>
  <c r="F441" i="3"/>
  <c r="B442" i="3"/>
  <c r="F442" i="3"/>
  <c r="B443" i="3"/>
  <c r="F443" i="3"/>
  <c r="B444" i="3"/>
  <c r="F444" i="3"/>
  <c r="B446" i="3"/>
  <c r="F446" i="3"/>
  <c r="B447" i="3"/>
  <c r="F447" i="3"/>
  <c r="B448" i="3"/>
  <c r="F448" i="3"/>
  <c r="B449" i="3"/>
  <c r="F449" i="3"/>
  <c r="B450" i="3"/>
  <c r="F450" i="3"/>
  <c r="B451" i="3"/>
  <c r="F451" i="3"/>
  <c r="B452" i="3"/>
  <c r="F452" i="3"/>
  <c r="B509" i="3"/>
  <c r="F509" i="3"/>
  <c r="B510" i="3"/>
  <c r="F510" i="3"/>
  <c r="B511" i="3"/>
  <c r="F511" i="3"/>
  <c r="B512" i="3"/>
  <c r="F512" i="3"/>
  <c r="B525" i="3"/>
  <c r="F525" i="3"/>
  <c r="B527" i="3"/>
  <c r="F527" i="3"/>
  <c r="B528" i="3"/>
  <c r="F528" i="3"/>
  <c r="B529" i="3"/>
  <c r="F529" i="3"/>
  <c r="B530" i="3"/>
  <c r="F530" i="3"/>
  <c r="B531" i="3"/>
  <c r="F531" i="3"/>
  <c r="B532" i="3"/>
  <c r="B170" i="3"/>
  <c r="F170" i="3"/>
  <c r="B171" i="3"/>
  <c r="F171" i="3"/>
  <c r="B173" i="3"/>
  <c r="F173" i="3"/>
  <c r="B174" i="3"/>
  <c r="F174" i="3"/>
  <c r="B176" i="3"/>
  <c r="F176" i="3"/>
  <c r="B177" i="3"/>
  <c r="F177" i="3"/>
  <c r="B179" i="3"/>
  <c r="F179" i="3"/>
  <c r="B183" i="3"/>
  <c r="F183" i="3"/>
  <c r="B185" i="3"/>
  <c r="F185" i="3"/>
  <c r="B186" i="3"/>
  <c r="F186" i="3"/>
  <c r="B187" i="3"/>
  <c r="F187" i="3"/>
  <c r="B188" i="3"/>
  <c r="F188" i="3"/>
  <c r="B189" i="3"/>
  <c r="F189" i="3"/>
  <c r="B190" i="3"/>
  <c r="F190" i="3"/>
  <c r="B191" i="3"/>
  <c r="F191" i="3"/>
  <c r="B192" i="3"/>
  <c r="F192" i="3"/>
  <c r="B193" i="3"/>
  <c r="F193" i="3"/>
  <c r="B194" i="3"/>
  <c r="F194" i="3"/>
  <c r="B195" i="3"/>
  <c r="F195" i="3"/>
  <c r="B196" i="3"/>
  <c r="F196" i="3"/>
  <c r="B149" i="3"/>
  <c r="F149" i="3"/>
  <c r="B150" i="3"/>
  <c r="F150" i="3"/>
  <c r="B151" i="3"/>
  <c r="F151" i="3"/>
  <c r="B152" i="3"/>
  <c r="F152" i="3"/>
  <c r="B153" i="3"/>
  <c r="F153" i="3"/>
  <c r="B154" i="3"/>
  <c r="F154" i="3"/>
  <c r="B155" i="3"/>
  <c r="F155" i="3"/>
  <c r="B156" i="3"/>
  <c r="F156" i="3"/>
  <c r="B157" i="3"/>
  <c r="F157" i="3"/>
  <c r="B158" i="3"/>
  <c r="F158" i="3"/>
  <c r="B159" i="3"/>
  <c r="F159" i="3"/>
  <c r="B160" i="3"/>
  <c r="F160" i="3"/>
  <c r="B161" i="3"/>
  <c r="F161" i="3"/>
  <c r="B162" i="3"/>
  <c r="F162" i="3"/>
  <c r="B163" i="3"/>
  <c r="F163" i="3"/>
  <c r="B164" i="3"/>
  <c r="F164" i="3"/>
  <c r="B165" i="3"/>
  <c r="F165" i="3"/>
  <c r="B144" i="3"/>
  <c r="F144" i="3"/>
  <c r="B145" i="3"/>
  <c r="F145" i="3"/>
  <c r="B146" i="3"/>
  <c r="F146" i="3"/>
  <c r="B147" i="3"/>
  <c r="F147" i="3"/>
  <c r="E127" i="2"/>
  <c r="D127" i="2" s="1"/>
  <c r="D221" i="2"/>
  <c r="D431" i="2" s="1"/>
  <c r="D222" i="2"/>
  <c r="D432" i="2" s="1"/>
  <c r="D223" i="2"/>
  <c r="D433" i="2" s="1"/>
  <c r="D224" i="2"/>
  <c r="D434" i="2" s="1"/>
  <c r="D225" i="2"/>
  <c r="D435" i="2" s="1"/>
  <c r="D226" i="2"/>
  <c r="D436" i="2" s="1"/>
  <c r="D227" i="2"/>
  <c r="D437" i="2" s="1"/>
  <c r="D228" i="2"/>
  <c r="D438" i="2" s="1"/>
  <c r="D229" i="2"/>
  <c r="D439" i="2" s="1"/>
  <c r="D231" i="2"/>
  <c r="D441" i="2" s="1"/>
  <c r="D237" i="2"/>
  <c r="N34" i="3" s="1"/>
  <c r="E242" i="2"/>
  <c r="E244" i="2" s="1"/>
  <c r="F242" i="2"/>
  <c r="G242" i="2"/>
  <c r="G244" i="2" s="1"/>
  <c r="H242" i="2"/>
  <c r="H244" i="2" s="1"/>
  <c r="E256" i="2"/>
  <c r="E258" i="2" s="1"/>
  <c r="F256" i="2"/>
  <c r="F258" i="2" s="1"/>
  <c r="G256" i="2"/>
  <c r="G258" i="2" s="1"/>
  <c r="H256" i="2"/>
  <c r="H258" i="2" s="1"/>
  <c r="I256" i="2"/>
  <c r="I258" i="2" s="1"/>
  <c r="J256" i="2"/>
  <c r="J258" i="2" s="1"/>
  <c r="K256" i="2"/>
  <c r="K258" i="2" s="1"/>
  <c r="E260" i="2"/>
  <c r="D260" i="2" s="1"/>
  <c r="D403" i="2" s="1"/>
  <c r="E264" i="2"/>
  <c r="F264" i="2"/>
  <c r="F266" i="2" s="1"/>
  <c r="G264" i="2"/>
  <c r="G266" i="2" s="1"/>
  <c r="H264" i="2"/>
  <c r="H266" i="2" s="1"/>
  <c r="E268" i="2"/>
  <c r="F268" i="2"/>
  <c r="F270" i="2" s="1"/>
  <c r="G268" i="2"/>
  <c r="G270" i="2" s="1"/>
  <c r="H268" i="2"/>
  <c r="H270" i="2" s="1"/>
  <c r="I268" i="2"/>
  <c r="I270" i="2" s="1"/>
  <c r="J268" i="2"/>
  <c r="J270" i="2" s="1"/>
  <c r="K268" i="2"/>
  <c r="K270" i="2" s="1"/>
  <c r="E272" i="2"/>
  <c r="D272" i="2" s="1"/>
  <c r="E276" i="2"/>
  <c r="E278" i="2" s="1"/>
  <c r="F276" i="2"/>
  <c r="F278" i="2" s="1"/>
  <c r="G276" i="2"/>
  <c r="G278" i="2" s="1"/>
  <c r="H276" i="2"/>
  <c r="H278" i="2" s="1"/>
  <c r="I276" i="2"/>
  <c r="I278" i="2" s="1"/>
  <c r="E280" i="2"/>
  <c r="F280" i="2"/>
  <c r="F282" i="2" s="1"/>
  <c r="G280" i="2"/>
  <c r="G282" i="2" s="1"/>
  <c r="H280" i="2"/>
  <c r="H282" i="2" s="1"/>
  <c r="I280" i="2"/>
  <c r="I282" i="2" s="1"/>
  <c r="J280" i="2"/>
  <c r="J282" i="2" s="1"/>
  <c r="C317" i="2"/>
  <c r="C318" i="2"/>
  <c r="C319" i="2"/>
  <c r="C320" i="2"/>
  <c r="C321" i="2"/>
  <c r="C322" i="2"/>
  <c r="C325" i="2"/>
  <c r="C326" i="2"/>
  <c r="C327" i="2"/>
  <c r="C328" i="2"/>
  <c r="C329" i="2"/>
  <c r="C330" i="2"/>
  <c r="C331" i="2"/>
  <c r="C332" i="2"/>
  <c r="C333" i="2"/>
  <c r="C334" i="2"/>
  <c r="C335" i="2"/>
  <c r="C338" i="2"/>
  <c r="C339" i="2"/>
  <c r="C340" i="2"/>
  <c r="C341" i="2"/>
  <c r="C342" i="2"/>
  <c r="C343" i="2"/>
  <c r="C349" i="2"/>
  <c r="C350" i="2"/>
  <c r="C351" i="2"/>
  <c r="C352" i="2"/>
  <c r="C353" i="2"/>
  <c r="C354" i="2"/>
  <c r="C357" i="2"/>
  <c r="C358" i="2"/>
  <c r="C359" i="2"/>
  <c r="C360" i="2"/>
  <c r="C361" i="2"/>
  <c r="C362" i="2"/>
  <c r="C365" i="2"/>
  <c r="C366" i="2"/>
  <c r="C367" i="2"/>
  <c r="C368" i="2"/>
  <c r="C369" i="2"/>
  <c r="C370" i="2"/>
  <c r="C371" i="2"/>
  <c r="C372" i="2"/>
  <c r="C373" i="2"/>
  <c r="C374" i="2"/>
  <c r="C375" i="2"/>
  <c r="C378" i="2"/>
  <c r="C379" i="2"/>
  <c r="C380" i="2"/>
  <c r="C381" i="2"/>
  <c r="C382" i="2"/>
  <c r="C383" i="2"/>
  <c r="C391" i="2"/>
  <c r="C394" i="2"/>
  <c r="C395" i="2"/>
  <c r="C396" i="2"/>
  <c r="C400" i="2"/>
  <c r="C401" i="2"/>
  <c r="C402" i="2"/>
  <c r="C403" i="2"/>
  <c r="C404" i="2"/>
  <c r="C405" i="2"/>
  <c r="C410" i="2"/>
  <c r="C411" i="2"/>
  <c r="C418" i="2"/>
  <c r="C419" i="2"/>
  <c r="C420" i="2"/>
  <c r="C423" i="2"/>
  <c r="C424" i="2"/>
  <c r="C430" i="2"/>
  <c r="C431" i="2"/>
  <c r="C432" i="2"/>
  <c r="C433" i="2"/>
  <c r="C434" i="2"/>
  <c r="C435" i="2"/>
  <c r="C436" i="2"/>
  <c r="C437" i="2"/>
  <c r="C438" i="2"/>
  <c r="C439" i="2"/>
  <c r="C440" i="2"/>
  <c r="C441" i="2"/>
  <c r="F40" i="3" l="1"/>
  <c r="N48" i="3"/>
  <c r="M453" i="3"/>
  <c r="H39" i="3"/>
  <c r="F15" i="3" s="1"/>
  <c r="D302" i="2"/>
  <c r="D120" i="2"/>
  <c r="N59" i="3" s="1"/>
  <c r="E122" i="2"/>
  <c r="D121" i="2" s="1"/>
  <c r="A121" i="2" s="1"/>
  <c r="D286" i="2"/>
  <c r="E262" i="2"/>
  <c r="D261" i="2" s="1"/>
  <c r="D242" i="2"/>
  <c r="N35" i="3" s="1"/>
  <c r="D240" i="2"/>
  <c r="D354" i="2" s="1"/>
  <c r="D299" i="2"/>
  <c r="D157" i="2"/>
  <c r="P313" i="3" s="1"/>
  <c r="D156" i="2"/>
  <c r="D328" i="2" s="1"/>
  <c r="H62" i="3" s="1"/>
  <c r="D54" i="2"/>
  <c r="D97" i="2"/>
  <c r="A97" i="2" s="1"/>
  <c r="D177" i="2"/>
  <c r="A177" i="2" s="1"/>
  <c r="F534" i="2" s="1"/>
  <c r="D117" i="2"/>
  <c r="A117" i="2" s="1"/>
  <c r="D78" i="2"/>
  <c r="D463" i="2" s="1"/>
  <c r="D62" i="2"/>
  <c r="D459" i="2" s="1"/>
  <c r="D92" i="2"/>
  <c r="N52" i="3" s="1"/>
  <c r="D168" i="2"/>
  <c r="M331" i="3" s="1"/>
  <c r="D152" i="2"/>
  <c r="M307" i="3" s="1"/>
  <c r="D294" i="2"/>
  <c r="D58" i="2"/>
  <c r="D176" i="2"/>
  <c r="D333" i="2" s="1"/>
  <c r="H67" i="3" s="1"/>
  <c r="D298" i="2"/>
  <c r="F244" i="2"/>
  <c r="D243" i="2" s="1"/>
  <c r="P417" i="3" s="1"/>
  <c r="D165" i="2"/>
  <c r="D102" i="2"/>
  <c r="P466" i="3" s="1"/>
  <c r="D16" i="2"/>
  <c r="D17" i="2"/>
  <c r="D21" i="2"/>
  <c r="D110" i="2"/>
  <c r="P479" i="3" s="1"/>
  <c r="D114" i="2"/>
  <c r="P485" i="3" s="1"/>
  <c r="D113" i="2"/>
  <c r="A113" i="2" s="1"/>
  <c r="D312" i="2"/>
  <c r="D134" i="2"/>
  <c r="D42" i="2"/>
  <c r="D454" i="2" s="1"/>
  <c r="D311" i="2"/>
  <c r="H38" i="3" s="1"/>
  <c r="D145" i="2"/>
  <c r="D365" i="2" s="1"/>
  <c r="I59" i="3" s="1"/>
  <c r="D124" i="2"/>
  <c r="H47" i="3" s="1"/>
  <c r="D173" i="2"/>
  <c r="D372" i="2" s="1"/>
  <c r="I66" i="3" s="1"/>
  <c r="D246" i="2"/>
  <c r="D401" i="2" s="1"/>
  <c r="B401" i="2" s="1"/>
  <c r="D144" i="2"/>
  <c r="D325" i="2" s="1"/>
  <c r="H59" i="3" s="1"/>
  <c r="D20" i="2"/>
  <c r="D27" i="2"/>
  <c r="D40" i="2"/>
  <c r="D108" i="2"/>
  <c r="D392" i="2"/>
  <c r="E129" i="2"/>
  <c r="D137" i="2"/>
  <c r="F56" i="2"/>
  <c r="D55" i="2" s="1"/>
  <c r="D483" i="2" s="1"/>
  <c r="F80" i="2"/>
  <c r="D80" i="2" s="1"/>
  <c r="D169" i="2"/>
  <c r="D371" i="2" s="1"/>
  <c r="I65" i="3" s="1"/>
  <c r="D112" i="2"/>
  <c r="N57" i="3" s="1"/>
  <c r="D214" i="2"/>
  <c r="A214" i="2" s="1"/>
  <c r="E296" i="2"/>
  <c r="D295" i="2" s="1"/>
  <c r="D116" i="2"/>
  <c r="D172" i="2"/>
  <c r="D164" i="2"/>
  <c r="M323" i="3" s="1"/>
  <c r="M438" i="3"/>
  <c r="D133" i="2"/>
  <c r="D100" i="2"/>
  <c r="N54" i="3" s="1"/>
  <c r="F60" i="2"/>
  <c r="D59" i="2" s="1"/>
  <c r="F64" i="2"/>
  <c r="D63" i="2" s="1"/>
  <c r="D96" i="2"/>
  <c r="M459" i="3" s="1"/>
  <c r="D132" i="2"/>
  <c r="D104" i="2"/>
  <c r="N55" i="3" s="1"/>
  <c r="N45" i="3"/>
  <c r="G154" i="2"/>
  <c r="D153" i="2" s="1"/>
  <c r="D136" i="2"/>
  <c r="D424" i="2" s="1"/>
  <c r="D46" i="2"/>
  <c r="D455" i="2" s="1"/>
  <c r="D276" i="2"/>
  <c r="D287" i="2"/>
  <c r="R11" i="2"/>
  <c r="D213" i="2"/>
  <c r="D38" i="2"/>
  <c r="D453" i="2" s="1"/>
  <c r="D290" i="2"/>
  <c r="E292" i="2"/>
  <c r="D291" i="2" s="1"/>
  <c r="D197" i="2"/>
  <c r="D88" i="2"/>
  <c r="D247" i="2"/>
  <c r="P422" i="3" s="1"/>
  <c r="D71" i="2"/>
  <c r="D487" i="2" s="1"/>
  <c r="D118" i="2"/>
  <c r="P495" i="3" s="1"/>
  <c r="D181" i="2"/>
  <c r="D182" i="2"/>
  <c r="D82" i="2"/>
  <c r="D464" i="2" s="1"/>
  <c r="D74" i="2"/>
  <c r="D462" i="2" s="1"/>
  <c r="F76" i="2"/>
  <c r="D70" i="2"/>
  <c r="D461" i="2" s="1"/>
  <c r="D66" i="2"/>
  <c r="D460" i="2" s="1"/>
  <c r="D106" i="2"/>
  <c r="P473" i="3" s="1"/>
  <c r="D105" i="2"/>
  <c r="A105" i="2" s="1"/>
  <c r="D109" i="2"/>
  <c r="A109" i="2" s="1"/>
  <c r="D84" i="2"/>
  <c r="D83" i="2"/>
  <c r="D196" i="2"/>
  <c r="D48" i="2"/>
  <c r="D210" i="2"/>
  <c r="E150" i="2"/>
  <c r="D148" i="2"/>
  <c r="D34" i="2"/>
  <c r="D452" i="2" s="1"/>
  <c r="D277" i="2"/>
  <c r="D161" i="2"/>
  <c r="D310" i="2"/>
  <c r="M143" i="3" s="1"/>
  <c r="D36" i="2"/>
  <c r="D86" i="2"/>
  <c r="D256" i="2"/>
  <c r="D44" i="2"/>
  <c r="D43" i="2"/>
  <c r="D480" i="2" s="1"/>
  <c r="D98" i="2"/>
  <c r="P459" i="3" s="1"/>
  <c r="D257" i="2"/>
  <c r="D192" i="2"/>
  <c r="E194" i="2"/>
  <c r="D250" i="2"/>
  <c r="N37" i="3" s="1"/>
  <c r="D184" i="2"/>
  <c r="D23" i="2"/>
  <c r="D468" i="2" s="1"/>
  <c r="D67" i="2"/>
  <c r="D68" i="2"/>
  <c r="D72" i="2"/>
  <c r="D280" i="2"/>
  <c r="E282" i="2"/>
  <c r="D281" i="2" s="1"/>
  <c r="D101" i="2"/>
  <c r="A101" i="2" s="1"/>
  <c r="E207" i="2"/>
  <c r="D206" i="2" s="1"/>
  <c r="D205" i="2"/>
  <c r="D185" i="2"/>
  <c r="D160" i="2"/>
  <c r="D25" i="2"/>
  <c r="D29" i="2"/>
  <c r="D19" i="2"/>
  <c r="D470" i="2" s="1"/>
  <c r="B470" i="2" s="1"/>
  <c r="D35" i="2"/>
  <c r="D478" i="2" s="1"/>
  <c r="M148" i="3"/>
  <c r="D12" i="2"/>
  <c r="D11" i="2"/>
  <c r="D467" i="2" s="1"/>
  <c r="D28" i="2"/>
  <c r="D180" i="2"/>
  <c r="M358" i="3" s="1"/>
  <c r="D230" i="2"/>
  <c r="D440" i="2" s="1"/>
  <c r="D51" i="2"/>
  <c r="D482" i="2" s="1"/>
  <c r="D209" i="2"/>
  <c r="D94" i="2"/>
  <c r="P457" i="3" s="1"/>
  <c r="D52" i="2"/>
  <c r="D39" i="2"/>
  <c r="D479" i="2" s="1"/>
  <c r="D47" i="2"/>
  <c r="D481" i="2" s="1"/>
  <c r="D200" i="2"/>
  <c r="D50" i="2"/>
  <c r="D456" i="2" s="1"/>
  <c r="D24" i="2"/>
  <c r="E266" i="2"/>
  <c r="D265" i="2" s="1"/>
  <c r="D264" i="2"/>
  <c r="D201" i="2"/>
  <c r="D303" i="2"/>
  <c r="D13" i="2"/>
  <c r="E270" i="2"/>
  <c r="D269" i="2" s="1"/>
  <c r="D268" i="2"/>
  <c r="D15" i="2"/>
  <c r="D469" i="2" s="1"/>
  <c r="B469" i="2" s="1"/>
  <c r="C512" i="2" l="1"/>
  <c r="B392" i="2"/>
  <c r="I392" i="2"/>
  <c r="A272" i="2"/>
  <c r="F38" i="3"/>
  <c r="P143" i="3"/>
  <c r="A67" i="2"/>
  <c r="D486" i="2"/>
  <c r="A83" i="2"/>
  <c r="D490" i="2"/>
  <c r="A63" i="2"/>
  <c r="D485" i="2"/>
  <c r="A59" i="2"/>
  <c r="D484" i="2"/>
  <c r="M417" i="3"/>
  <c r="D122" i="2"/>
  <c r="P500" i="3" s="1"/>
  <c r="D400" i="2"/>
  <c r="B400" i="2" s="1"/>
  <c r="D374" i="2"/>
  <c r="I68" i="3" s="1"/>
  <c r="A71" i="2"/>
  <c r="D394" i="2"/>
  <c r="D395" i="2"/>
  <c r="D409" i="2"/>
  <c r="B409" i="2" s="1"/>
  <c r="D411" i="2"/>
  <c r="B411" i="2" s="1"/>
  <c r="M197" i="3"/>
  <c r="D472" i="2"/>
  <c r="M513" i="3"/>
  <c r="D458" i="2"/>
  <c r="H37" i="3"/>
  <c r="D471" i="2"/>
  <c r="B471" i="2" s="1"/>
  <c r="A560" i="2" s="1"/>
  <c r="M276" i="3"/>
  <c r="D457" i="2"/>
  <c r="M466" i="3"/>
  <c r="D60" i="2"/>
  <c r="D414" i="2"/>
  <c r="D64" i="2"/>
  <c r="D415" i="2"/>
  <c r="D410" i="2"/>
  <c r="B410" i="2" s="1"/>
  <c r="F45" i="3"/>
  <c r="P184" i="3"/>
  <c r="P122" i="3"/>
  <c r="P331" i="3"/>
  <c r="M500" i="3"/>
  <c r="A169" i="2"/>
  <c r="D327" i="2"/>
  <c r="M352" i="3"/>
  <c r="D79" i="2"/>
  <c r="M457" i="3"/>
  <c r="D368" i="2"/>
  <c r="I62" i="3" s="1"/>
  <c r="D416" i="2"/>
  <c r="B416" i="2" s="1"/>
  <c r="D331" i="2"/>
  <c r="D306" i="2"/>
  <c r="M168" i="3" s="1"/>
  <c r="D418" i="2"/>
  <c r="A157" i="2"/>
  <c r="M313" i="3"/>
  <c r="N53" i="3"/>
  <c r="M473" i="3"/>
  <c r="M422" i="3"/>
  <c r="D373" i="2"/>
  <c r="I67" i="3" s="1"/>
  <c r="D383" i="2"/>
  <c r="I76" i="3" s="1"/>
  <c r="D322" i="2"/>
  <c r="H57" i="3" s="1"/>
  <c r="N36" i="3"/>
  <c r="P352" i="3"/>
  <c r="M485" i="3"/>
  <c r="P408" i="3"/>
  <c r="D56" i="2"/>
  <c r="P292" i="3"/>
  <c r="H45" i="3"/>
  <c r="M184" i="3"/>
  <c r="A145" i="2"/>
  <c r="D238" i="2"/>
  <c r="H46" i="3"/>
  <c r="D330" i="2"/>
  <c r="H64" i="3" s="1"/>
  <c r="D353" i="2"/>
  <c r="I353" i="2" s="1"/>
  <c r="M130" i="3"/>
  <c r="P276" i="3"/>
  <c r="D362" i="2"/>
  <c r="I57" i="3" s="1"/>
  <c r="A55" i="2"/>
  <c r="P197" i="3"/>
  <c r="F46" i="3"/>
  <c r="D332" i="2"/>
  <c r="H66" i="3" s="1"/>
  <c r="M335" i="3"/>
  <c r="D129" i="2"/>
  <c r="D128" i="2"/>
  <c r="M495" i="3"/>
  <c r="N58" i="3"/>
  <c r="M231" i="3"/>
  <c r="D319" i="2"/>
  <c r="H54" i="3" s="1"/>
  <c r="P109" i="3"/>
  <c r="F35" i="3"/>
  <c r="B122" i="2"/>
  <c r="F47" i="3" s="1"/>
  <c r="N56" i="3"/>
  <c r="M479" i="3"/>
  <c r="A173" i="2"/>
  <c r="M292" i="3"/>
  <c r="F36" i="3"/>
  <c r="D307" i="2"/>
  <c r="F44" i="3" s="1"/>
  <c r="P335" i="3"/>
  <c r="A165" i="2"/>
  <c r="D370" i="2"/>
  <c r="I64" i="3" s="1"/>
  <c r="P323" i="3"/>
  <c r="A206" i="2"/>
  <c r="P398" i="3"/>
  <c r="D381" i="2"/>
  <c r="I74" i="3" s="1"/>
  <c r="P231" i="3"/>
  <c r="D359" i="2"/>
  <c r="I54" i="3" s="1"/>
  <c r="A43" i="2"/>
  <c r="A197" i="2"/>
  <c r="D379" i="2"/>
  <c r="I72" i="3" s="1"/>
  <c r="P387" i="3"/>
  <c r="A181" i="2"/>
  <c r="P358" i="3"/>
  <c r="D361" i="2"/>
  <c r="P257" i="3"/>
  <c r="A51" i="2"/>
  <c r="D335" i="2"/>
  <c r="H69" i="3" s="1"/>
  <c r="M371" i="3"/>
  <c r="D149" i="2"/>
  <c r="D150" i="2"/>
  <c r="A210" i="2"/>
  <c r="D382" i="2"/>
  <c r="I75" i="3" s="1"/>
  <c r="P403" i="3"/>
  <c r="M507" i="3"/>
  <c r="D417" i="2"/>
  <c r="M244" i="3"/>
  <c r="D320" i="2"/>
  <c r="H55" i="3" s="1"/>
  <c r="D236" i="2"/>
  <c r="D448" i="2" s="1"/>
  <c r="B448" i="2" s="1"/>
  <c r="M205" i="3"/>
  <c r="D317" i="2"/>
  <c r="H52" i="3" s="1"/>
  <c r="D342" i="2"/>
  <c r="H75" i="3" s="1"/>
  <c r="M403" i="3"/>
  <c r="P307" i="3"/>
  <c r="A153" i="2"/>
  <c r="D367" i="2"/>
  <c r="I61" i="3" s="1"/>
  <c r="M317" i="3"/>
  <c r="D329" i="2"/>
  <c r="H63" i="3" s="1"/>
  <c r="M96" i="3"/>
  <c r="D352" i="2"/>
  <c r="B352" i="2" s="1"/>
  <c r="H34" i="3"/>
  <c r="P392" i="3"/>
  <c r="A201" i="2"/>
  <c r="D380" i="2"/>
  <c r="I73" i="3" s="1"/>
  <c r="D402" i="2"/>
  <c r="M430" i="3"/>
  <c r="N44" i="3"/>
  <c r="P96" i="3"/>
  <c r="F34" i="3"/>
  <c r="M392" i="3"/>
  <c r="D340" i="2"/>
  <c r="F37" i="3"/>
  <c r="P130" i="3"/>
  <c r="D339" i="2"/>
  <c r="H72" i="3" s="1"/>
  <c r="M387" i="3"/>
  <c r="D399" i="2"/>
  <c r="D334" i="2"/>
  <c r="H68" i="3" s="1"/>
  <c r="D405" i="2"/>
  <c r="M445" i="3"/>
  <c r="N47" i="3"/>
  <c r="P317" i="3"/>
  <c r="A161" i="2"/>
  <c r="D369" i="2"/>
  <c r="I63" i="3" s="1"/>
  <c r="P205" i="3"/>
  <c r="A35" i="2"/>
  <c r="D357" i="2"/>
  <c r="I52" i="3" s="1"/>
  <c r="D318" i="2"/>
  <c r="H53" i="3" s="1"/>
  <c r="M218" i="3"/>
  <c r="D351" i="2"/>
  <c r="I351" i="2" s="1"/>
  <c r="H36" i="3"/>
  <c r="M122" i="3"/>
  <c r="M526" i="3"/>
  <c r="D420" i="2"/>
  <c r="M408" i="3"/>
  <c r="D343" i="2"/>
  <c r="H76" i="3" s="1"/>
  <c r="D404" i="2"/>
  <c r="N46" i="3"/>
  <c r="M440" i="3"/>
  <c r="D326" i="2"/>
  <c r="H60" i="3" s="1"/>
  <c r="M296" i="3"/>
  <c r="D321" i="2"/>
  <c r="H56" i="3" s="1"/>
  <c r="M257" i="3"/>
  <c r="D193" i="2"/>
  <c r="D251" i="2"/>
  <c r="N38" i="3" s="1"/>
  <c r="D252" i="2"/>
  <c r="D396" i="2" s="1"/>
  <c r="D350" i="2"/>
  <c r="H35" i="3"/>
  <c r="D419" i="2"/>
  <c r="M109" i="3"/>
  <c r="A47" i="2"/>
  <c r="D360" i="2"/>
  <c r="I55" i="3" s="1"/>
  <c r="P244" i="3"/>
  <c r="D349" i="2"/>
  <c r="D408" i="2"/>
  <c r="M83" i="3"/>
  <c r="H33" i="3"/>
  <c r="P371" i="3"/>
  <c r="D375" i="2"/>
  <c r="I69" i="3" s="1"/>
  <c r="A185" i="2"/>
  <c r="M382" i="3"/>
  <c r="D338" i="2"/>
  <c r="H71" i="3" s="1"/>
  <c r="A39" i="2"/>
  <c r="D358" i="2"/>
  <c r="I53" i="3" s="1"/>
  <c r="P218" i="3"/>
  <c r="P83" i="3"/>
  <c r="F33" i="3"/>
  <c r="D341" i="2"/>
  <c r="H74" i="3" s="1"/>
  <c r="M398" i="3"/>
  <c r="D76" i="2"/>
  <c r="D75" i="2"/>
  <c r="I349" i="2" l="1"/>
  <c r="B349" i="2"/>
  <c r="B350" i="2"/>
  <c r="I354" i="2" s="1"/>
  <c r="I350" i="2"/>
  <c r="C503" i="2"/>
  <c r="I400" i="2"/>
  <c r="B408" i="2"/>
  <c r="C515" i="2"/>
  <c r="C514" i="2"/>
  <c r="B353" i="2"/>
  <c r="P456" i="3"/>
  <c r="F560" i="2"/>
  <c r="C561" i="2" s="1"/>
  <c r="I56" i="3"/>
  <c r="A79" i="2"/>
  <c r="D489" i="2"/>
  <c r="A75" i="2"/>
  <c r="D488" i="2"/>
  <c r="B351" i="2"/>
  <c r="F555" i="2"/>
  <c r="F553" i="2"/>
  <c r="F554" i="2"/>
  <c r="D393" i="2"/>
  <c r="I393" i="2" s="1"/>
  <c r="D449" i="2"/>
  <c r="H73" i="3"/>
  <c r="H65" i="3"/>
  <c r="H61" i="3"/>
  <c r="P168" i="3"/>
  <c r="D423" i="2"/>
  <c r="H44" i="3"/>
  <c r="N39" i="3"/>
  <c r="B56" i="2"/>
  <c r="I49" i="3" s="1"/>
  <c r="P494" i="3"/>
  <c r="N33" i="3"/>
  <c r="B19" i="3" s="1"/>
  <c r="D391" i="2"/>
  <c r="B391" i="2" s="1"/>
  <c r="A149" i="2"/>
  <c r="B186" i="2" s="1"/>
  <c r="D366" i="2"/>
  <c r="I60" i="3" s="1"/>
  <c r="P296" i="3"/>
  <c r="A193" i="2"/>
  <c r="B215" i="2" s="1"/>
  <c r="F535" i="2" s="1"/>
  <c r="D378" i="2"/>
  <c r="I71" i="3" s="1"/>
  <c r="P382" i="3"/>
  <c r="I391" i="2" l="1"/>
  <c r="C501" i="2"/>
  <c r="C502" i="2"/>
  <c r="C496" i="2"/>
  <c r="C504" i="2"/>
  <c r="C553" i="2"/>
  <c r="B393" i="2"/>
  <c r="B354" i="2"/>
  <c r="C562" i="2"/>
  <c r="C563" i="2"/>
  <c r="F16" i="3"/>
  <c r="C508" i="2"/>
  <c r="C511" i="2"/>
  <c r="B27" i="3" s="1"/>
  <c r="C560" i="2"/>
  <c r="I70" i="3"/>
  <c r="A506" i="2"/>
  <c r="I58" i="3"/>
  <c r="C555" i="2"/>
  <c r="C554" i="2"/>
  <c r="F532" i="2"/>
  <c r="N40" i="3"/>
  <c r="F533" i="2"/>
  <c r="C498" i="2" l="1"/>
  <c r="C497" i="2"/>
  <c r="C533" i="2"/>
  <c r="C532" i="2"/>
  <c r="C500" i="2"/>
  <c r="B28" i="3" s="1"/>
  <c r="C534" i="2"/>
  <c r="C509" i="2"/>
  <c r="C507" i="2"/>
  <c r="C537" i="2"/>
  <c r="C538" i="2"/>
  <c r="C539" i="2"/>
  <c r="C535" i="2"/>
  <c r="C552" i="2"/>
  <c r="F12" i="3" s="1"/>
  <c r="C559" i="2"/>
  <c r="F14" i="3" s="1"/>
  <c r="C536" i="2"/>
  <c r="C494" i="2" l="1" a="1"/>
  <c r="C494" i="2" s="1"/>
  <c r="B22" i="3" s="1"/>
  <c r="C506" i="2"/>
  <c r="B25" i="3" s="1"/>
  <c r="C530" i="2"/>
  <c r="F1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Jurgen Schmidt</author>
  </authors>
  <commentList>
    <comment ref="D13" authorId="0" shapeId="0" xr:uid="{00000000-0006-0000-0000-000001000000}">
      <text>
        <r>
          <rPr>
            <b/>
            <sz val="8"/>
            <color indexed="81"/>
            <rFont val="Tahoma"/>
            <family val="2"/>
          </rPr>
          <t>=1 if equal to ten. Used to count how many items are scored a '10'</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Jurgen Schmidt</author>
    <author>D. Michael Coy, MA, LICSW</author>
  </authors>
  <commentList>
    <comment ref="D11" authorId="0" shapeId="0" xr:uid="{00000000-0006-0000-0100-000001000000}">
      <text>
        <r>
          <rPr>
            <b/>
            <sz val="8"/>
            <color rgb="FF000000"/>
            <rFont val="Tahoma"/>
            <family val="2"/>
          </rPr>
          <t>Inverse Mean</t>
        </r>
        <r>
          <rPr>
            <sz val="8"/>
            <color rgb="FF000000"/>
            <rFont val="Tahoma"/>
            <family val="2"/>
          </rPr>
          <t xml:space="preserve">
</t>
        </r>
        <r>
          <rPr>
            <sz val="8"/>
            <color rgb="FF000000"/>
            <rFont val="Tahoma"/>
            <family val="2"/>
          </rPr>
          <t>10 - average of all items</t>
        </r>
      </text>
    </comment>
    <comment ref="R11" authorId="0" shapeId="0" xr:uid="{00000000-0006-0000-0100-000002000000}">
      <text>
        <r>
          <rPr>
            <b/>
            <sz val="8"/>
            <color rgb="FF000000"/>
            <rFont val="Tahoma"/>
            <family val="2"/>
          </rPr>
          <t xml:space="preserve">Cognitive Distraction 
</t>
        </r>
        <r>
          <rPr>
            <b/>
            <sz val="8"/>
            <color rgb="FF000000"/>
            <rFont val="Tahoma"/>
            <family val="2"/>
          </rPr>
          <t>Mean</t>
        </r>
      </text>
    </comment>
    <comment ref="C12" authorId="0" shapeId="0" xr:uid="{00000000-0006-0000-0100-000003000000}">
      <text>
        <r>
          <rPr>
            <sz val="8"/>
            <color rgb="FF000000"/>
            <rFont val="Tahoma"/>
            <family val="2"/>
          </rPr>
          <t># of items scored as zero</t>
        </r>
      </text>
    </comment>
    <comment ref="D12" authorId="0" shapeId="0" xr:uid="{00000000-0006-0000-0100-000004000000}">
      <text>
        <r>
          <rPr>
            <sz val="8"/>
            <color rgb="FF000000"/>
            <rFont val="Tahoma"/>
            <family val="2"/>
          </rPr>
          <t>This Passed Item Score is calculated differently than all other scores on the MID: This is the total count of items answered as '0'.</t>
        </r>
      </text>
    </comment>
    <comment ref="C13" authorId="0" shapeId="0" xr:uid="{C2DF469E-5B4E-3548-A37A-58210AA1102A}">
      <text>
        <r>
          <rPr>
            <sz val="8"/>
            <color rgb="FF000000"/>
            <rFont val="Tahoma"/>
            <family val="2"/>
          </rPr>
          <t>% of items scored as zero</t>
        </r>
      </text>
    </comment>
    <comment ref="D16" authorId="0" shapeId="0" xr:uid="{00000000-0006-0000-0100-000005000000}">
      <text>
        <r>
          <rPr>
            <sz val="8"/>
            <color rgb="FF000000"/>
            <rFont val="Tahoma"/>
            <family val="2"/>
          </rPr>
          <t xml:space="preserve">
</t>
        </r>
        <r>
          <rPr>
            <sz val="8"/>
            <color rgb="FF000000"/>
            <rFont val="Tahoma"/>
            <family val="2"/>
          </rPr>
          <t>Number of items passed</t>
        </r>
      </text>
    </comment>
    <comment ref="R35" authorId="0" shapeId="0" xr:uid="{00000000-0006-0000-0100-000006000000}">
      <text>
        <r>
          <rPr>
            <sz val="8"/>
            <color rgb="FF000000"/>
            <rFont val="Tahoma"/>
            <family val="2"/>
          </rPr>
          <t xml:space="preserve">Symptom Cutoff Value for Clinical Significance - Must 'pass' &gt;= this number of items to have the corresponding 
</t>
        </r>
        <r>
          <rPr>
            <sz val="8"/>
            <color rgb="FF000000"/>
            <rFont val="Tahoma"/>
            <family val="2"/>
          </rPr>
          <t>symptom.</t>
        </r>
      </text>
    </comment>
    <comment ref="E36" authorId="0" shapeId="0" xr:uid="{00000000-0006-0000-0100-000007000000}">
      <text>
        <r>
          <rPr>
            <sz val="8"/>
            <color rgb="FF000000"/>
            <rFont val="Tahoma"/>
            <family val="2"/>
          </rPr>
          <t xml:space="preserve">Is score &gt;= to cutoff value?
</t>
        </r>
      </text>
    </comment>
    <comment ref="D94" authorId="0" shapeId="0" xr:uid="{00000000-0006-0000-0100-000008000000}">
      <text>
        <r>
          <rPr>
            <sz val="8"/>
            <color rgb="FF000000"/>
            <rFont val="Tahoma"/>
            <family val="2"/>
          </rPr>
          <t>Number of items passed</t>
        </r>
      </text>
    </comment>
    <comment ref="D98" authorId="0" shapeId="0" xr:uid="{00000000-0006-0000-0100-000009000000}">
      <text>
        <r>
          <rPr>
            <sz val="8"/>
            <color rgb="FF000000"/>
            <rFont val="Tahoma"/>
            <family val="2"/>
          </rPr>
          <t>Number of items passed</t>
        </r>
      </text>
    </comment>
    <comment ref="D102" authorId="0" shapeId="0" xr:uid="{00000000-0006-0000-0100-00000A000000}">
      <text>
        <r>
          <rPr>
            <sz val="8"/>
            <color rgb="FF000000"/>
            <rFont val="Tahoma"/>
            <family val="2"/>
          </rPr>
          <t>Number of items passed</t>
        </r>
      </text>
    </comment>
    <comment ref="D106" authorId="0" shapeId="0" xr:uid="{00000000-0006-0000-0100-00000B000000}">
      <text>
        <r>
          <rPr>
            <sz val="8"/>
            <color rgb="FF000000"/>
            <rFont val="Tahoma"/>
            <family val="2"/>
          </rPr>
          <t>Number of items passed</t>
        </r>
      </text>
    </comment>
    <comment ref="D110" authorId="0" shapeId="0" xr:uid="{00000000-0006-0000-0100-00000C000000}">
      <text>
        <r>
          <rPr>
            <sz val="8"/>
            <color indexed="81"/>
            <rFont val="Tahoma"/>
            <family val="2"/>
          </rPr>
          <t>Number of items passed</t>
        </r>
      </text>
    </comment>
    <comment ref="D114" authorId="0" shapeId="0" xr:uid="{00000000-0006-0000-0100-00000D000000}">
      <text>
        <r>
          <rPr>
            <sz val="8"/>
            <color indexed="81"/>
            <rFont val="Tahoma"/>
            <family val="2"/>
          </rPr>
          <t>Number of items passed</t>
        </r>
      </text>
    </comment>
    <comment ref="D118" authorId="0" shapeId="0" xr:uid="{00000000-0006-0000-0100-00000E000000}">
      <text>
        <r>
          <rPr>
            <sz val="8"/>
            <color rgb="FF000000"/>
            <rFont val="Tahoma"/>
            <family val="2"/>
          </rPr>
          <t>Number of items passed</t>
        </r>
      </text>
    </comment>
    <comment ref="D122" authorId="0" shapeId="0" xr:uid="{00000000-0006-0000-0100-00000F000000}">
      <text>
        <r>
          <rPr>
            <sz val="8"/>
            <color rgb="FF000000"/>
            <rFont val="Tahoma"/>
            <family val="2"/>
          </rPr>
          <t>Number of items passed</t>
        </r>
      </text>
    </comment>
    <comment ref="D129" authorId="0" shapeId="0" xr:uid="{00000000-0006-0000-0100-000010000000}">
      <text>
        <r>
          <rPr>
            <sz val="8"/>
            <color rgb="FF000000"/>
            <rFont val="Tahoma"/>
            <family val="2"/>
          </rPr>
          <t>Number of items passed</t>
        </r>
      </text>
    </comment>
    <comment ref="D236" authorId="0" shapeId="0" xr:uid="{00000000-0006-0000-0100-000012000000}">
      <text>
        <r>
          <rPr>
            <sz val="8"/>
            <color rgb="FF000000"/>
            <rFont val="Tahoma"/>
            <family val="2"/>
          </rPr>
          <t xml:space="preserve">Mean of the 14 scales:
</t>
        </r>
        <r>
          <rPr>
            <sz val="8"/>
            <color rgb="FF000000"/>
            <rFont val="Tahoma"/>
            <family val="2"/>
          </rPr>
          <t>Memory to Ancillary</t>
        </r>
      </text>
    </comment>
    <comment ref="D238" authorId="0" shapeId="0" xr:uid="{00000000-0006-0000-0100-000013000000}">
      <text>
        <r>
          <rPr>
            <sz val="8"/>
            <color rgb="FF000000"/>
            <rFont val="Tahoma"/>
            <family val="2"/>
          </rPr>
          <t xml:space="preserve">Total count of all items &gt; or = to cutoff on the 14 scales
</t>
        </r>
      </text>
    </comment>
    <comment ref="C250" authorId="0" shapeId="0" xr:uid="{00000000-0006-0000-0100-000014000000}">
      <text>
        <r>
          <rPr>
            <sz val="8"/>
            <color rgb="FF000000"/>
            <rFont val="Tahoma"/>
            <family val="2"/>
          </rPr>
          <t>Calculated from all of Criteria C and B9</t>
        </r>
      </text>
    </comment>
    <comment ref="C306" authorId="0" shapeId="0" xr:uid="{00000000-0006-0000-0100-000015000000}">
      <text>
        <r>
          <rPr>
            <sz val="8"/>
            <color rgb="FF000000"/>
            <rFont val="Tahoma"/>
            <family val="2"/>
          </rPr>
          <t xml:space="preserve">From the five items above
</t>
        </r>
      </text>
    </comment>
    <comment ref="D311" authorId="1" shapeId="0" xr:uid="{881531EF-F5DE-A242-AB40-CA96A945AA1B}">
      <text>
        <r>
          <rPr>
            <sz val="10"/>
            <color rgb="FF000000"/>
            <rFont val="Tahoma"/>
            <family val="2"/>
          </rPr>
          <t>Mean Score</t>
        </r>
      </text>
    </comment>
    <comment ref="C315" authorId="0" shapeId="0" xr:uid="{00000000-0006-0000-0100-000016000000}">
      <text>
        <r>
          <rPr>
            <sz val="8"/>
            <color rgb="FF000000"/>
            <rFont val="Tahoma"/>
            <family val="2"/>
          </rPr>
          <t xml:space="preserve">Text descriptions for scores come from scales above - DO NOT type manually here.
</t>
        </r>
        <r>
          <rPr>
            <sz val="8"/>
            <color rgb="FF000000"/>
            <rFont val="Tahoma"/>
            <family val="2"/>
          </rPr>
          <t xml:space="preserve">
</t>
        </r>
        <r>
          <rPr>
            <sz val="8"/>
            <color rgb="FF000000"/>
            <rFont val="Tahoma"/>
            <family val="2"/>
          </rPr>
          <t>Headers (starting with "**") are typed here.</t>
        </r>
      </text>
    </comment>
    <comment ref="D315" authorId="0" shapeId="0" xr:uid="{00000000-0006-0000-0100-000017000000}">
      <text>
        <r>
          <rPr>
            <sz val="8"/>
            <color rgb="FF000000"/>
            <rFont val="Tahoma"/>
            <family val="2"/>
          </rPr>
          <t xml:space="preserve">These tables use the simple scores collected above and set them up for graphing. 
</t>
        </r>
        <r>
          <rPr>
            <sz val="8"/>
            <color rgb="FF000000"/>
            <rFont val="Tahoma"/>
            <family val="2"/>
          </rPr>
          <t xml:space="preserve">
</t>
        </r>
        <r>
          <rPr>
            <sz val="8"/>
            <color rgb="FF000000"/>
            <rFont val="Tahoma"/>
            <family val="2"/>
          </rPr>
          <t>This table is based primarilly on the mean scores.</t>
        </r>
      </text>
    </comment>
    <comment ref="E315" authorId="0" shapeId="0" xr:uid="{00000000-0006-0000-0100-000018000000}">
      <text>
        <r>
          <rPr>
            <b/>
            <sz val="8"/>
            <color rgb="FF000000"/>
            <rFont val="Tahoma"/>
            <family val="2"/>
          </rPr>
          <t>Normal Scores</t>
        </r>
        <r>
          <rPr>
            <sz val="8"/>
            <color rgb="FF000000"/>
            <rFont val="Tahoma"/>
            <family val="2"/>
          </rPr>
          <t xml:space="preserve">
</t>
        </r>
        <r>
          <rPr>
            <sz val="8"/>
            <color rgb="FF000000"/>
            <rFont val="Tahoma"/>
            <family val="2"/>
          </rPr>
          <t xml:space="preserve">These are hard-coded here
</t>
        </r>
      </text>
    </comment>
    <comment ref="C347" authorId="0" shapeId="0" xr:uid="{00000000-0006-0000-0100-000019000000}">
      <text>
        <r>
          <rPr>
            <sz val="8"/>
            <color rgb="FF000000"/>
            <rFont val="Tahoma"/>
            <family val="2"/>
          </rPr>
          <t xml:space="preserve">Text descriptions for scores come from scales above - DO NOT type manually here.
</t>
        </r>
        <r>
          <rPr>
            <sz val="8"/>
            <color rgb="FF000000"/>
            <rFont val="Tahoma"/>
            <family val="2"/>
          </rPr>
          <t xml:space="preserve">
</t>
        </r>
        <r>
          <rPr>
            <sz val="8"/>
            <color rgb="FF000000"/>
            <rFont val="Tahoma"/>
            <family val="2"/>
          </rPr>
          <t>Headers (starting with "**") are typed here.</t>
        </r>
      </text>
    </comment>
    <comment ref="D347" authorId="0" shapeId="0" xr:uid="{00000000-0006-0000-0100-00001A000000}">
      <text>
        <r>
          <rPr>
            <sz val="8"/>
            <color rgb="FF000000"/>
            <rFont val="Tahoma"/>
            <family val="2"/>
          </rPr>
          <t xml:space="preserve">This table is based mostly on the item scores.
</t>
        </r>
        <r>
          <rPr>
            <sz val="8"/>
            <color rgb="FF000000"/>
            <rFont val="Tahoma"/>
            <family val="2"/>
          </rPr>
          <t xml:space="preserve">
</t>
        </r>
        <r>
          <rPr>
            <sz val="8"/>
            <color rgb="FF000000"/>
            <rFont val="Tahoma"/>
            <family val="2"/>
          </rPr>
          <t>The validity scale has some special calculations</t>
        </r>
      </text>
    </comment>
    <comment ref="E347" authorId="0" shapeId="0" xr:uid="{00000000-0006-0000-0100-00001B000000}">
      <text>
        <r>
          <rPr>
            <b/>
            <sz val="8"/>
            <color rgb="FF000000"/>
            <rFont val="Tahoma"/>
            <family val="2"/>
          </rPr>
          <t>Normal Scores</t>
        </r>
        <r>
          <rPr>
            <sz val="8"/>
            <color rgb="FF000000"/>
            <rFont val="Tahoma"/>
            <family val="2"/>
          </rPr>
          <t xml:space="preserve">
</t>
        </r>
        <r>
          <rPr>
            <sz val="8"/>
            <color rgb="FF000000"/>
            <rFont val="Tahoma"/>
            <family val="2"/>
          </rPr>
          <t xml:space="preserve">These are hard-coded here
</t>
        </r>
      </text>
    </comment>
    <comment ref="C348" authorId="0" shapeId="0" xr:uid="{00000000-0006-0000-0100-00001C000000}">
      <text>
        <r>
          <rPr>
            <sz val="8"/>
            <color rgb="FF000000"/>
            <rFont val="Tahoma"/>
            <family val="2"/>
          </rPr>
          <t>Uses means and an adjusting factor</t>
        </r>
      </text>
    </comment>
    <comment ref="D349" authorId="0" shapeId="0" xr:uid="{00000000-0006-0000-0100-00001D000000}">
      <text>
        <r>
          <rPr>
            <sz val="8"/>
            <color rgb="FF000000"/>
            <rFont val="Tahoma"/>
            <family val="2"/>
          </rPr>
          <t>Inverted mean of all items adjusted by 100/70</t>
        </r>
      </text>
    </comment>
    <comment ref="C355" authorId="0" shapeId="0" xr:uid="{00000000-0006-0000-0100-00001E000000}">
      <text>
        <r>
          <rPr>
            <sz val="8"/>
            <color rgb="FF000000"/>
            <rFont val="Tahoma"/>
            <family val="2"/>
          </rPr>
          <t>The remaining scores are based on the item score and range from 0 to 333</t>
        </r>
      </text>
    </comment>
    <comment ref="C388" authorId="0" shapeId="0" xr:uid="{00000000-0006-0000-0100-00001F000000}">
      <text>
        <r>
          <rPr>
            <sz val="8"/>
            <color rgb="FF000000"/>
            <rFont val="Tahoma"/>
            <family val="2"/>
          </rPr>
          <t xml:space="preserve">Text descriptions for scores come from scales above - DO NOT type manually here.
</t>
        </r>
        <r>
          <rPr>
            <sz val="8"/>
            <color rgb="FF000000"/>
            <rFont val="Tahoma"/>
            <family val="2"/>
          </rPr>
          <t xml:space="preserve">
</t>
        </r>
        <r>
          <rPr>
            <sz val="8"/>
            <color rgb="FF000000"/>
            <rFont val="Tahoma"/>
            <family val="2"/>
          </rPr>
          <t>Headers (starting with "**") are typed here.</t>
        </r>
      </text>
    </comment>
    <comment ref="E388" authorId="0" shapeId="0" xr:uid="{00000000-0006-0000-0100-000020000000}">
      <text>
        <r>
          <rPr>
            <b/>
            <sz val="8"/>
            <color rgb="FF000000"/>
            <rFont val="Tahoma"/>
            <family val="2"/>
          </rPr>
          <t>Normal Scores</t>
        </r>
        <r>
          <rPr>
            <sz val="8"/>
            <color rgb="FF000000"/>
            <rFont val="Tahoma"/>
            <family val="2"/>
          </rPr>
          <t xml:space="preserve">
</t>
        </r>
        <r>
          <rPr>
            <sz val="8"/>
            <color rgb="FF000000"/>
            <rFont val="Tahoma"/>
            <family val="2"/>
          </rPr>
          <t xml:space="preserve">These are hard-coded here
</t>
        </r>
      </text>
    </comment>
    <comment ref="E428" authorId="0" shapeId="0" xr:uid="{00000000-0006-0000-0100-000021000000}">
      <text>
        <r>
          <rPr>
            <b/>
            <sz val="8"/>
            <color rgb="FF000000"/>
            <rFont val="Tahoma"/>
            <family val="2"/>
          </rPr>
          <t>Normal Scores</t>
        </r>
        <r>
          <rPr>
            <sz val="8"/>
            <color rgb="FF000000"/>
            <rFont val="Tahoma"/>
            <family val="2"/>
          </rPr>
          <t xml:space="preserve">
</t>
        </r>
        <r>
          <rPr>
            <sz val="8"/>
            <color rgb="FF000000"/>
            <rFont val="Tahoma"/>
            <family val="2"/>
          </rPr>
          <t xml:space="preserve">These are hard-coded here
</t>
        </r>
      </text>
    </comment>
    <comment ref="C445" authorId="0" shapeId="0" xr:uid="{61091B07-64C4-EB4E-9ADB-DD6787E6C6A0}">
      <text>
        <r>
          <rPr>
            <sz val="8"/>
            <color rgb="FF000000"/>
            <rFont val="Tahoma"/>
            <family val="2"/>
          </rPr>
          <t xml:space="preserve">Text descriptions for scores come from scales above - DO NOT type manually here.
</t>
        </r>
        <r>
          <rPr>
            <sz val="8"/>
            <color rgb="FF000000"/>
            <rFont val="Tahoma"/>
            <family val="2"/>
          </rPr>
          <t xml:space="preserve">
</t>
        </r>
        <r>
          <rPr>
            <sz val="8"/>
            <color rgb="FF000000"/>
            <rFont val="Tahoma"/>
            <family val="2"/>
          </rPr>
          <t>Headers (starting with "**") are typed here.</t>
        </r>
      </text>
    </comment>
    <comment ref="D445" authorId="0" shapeId="0" xr:uid="{F89974BC-6F1E-8844-8642-E0E1050BBC44}">
      <text>
        <r>
          <rPr>
            <sz val="8"/>
            <color rgb="FF000000"/>
            <rFont val="Tahoma"/>
            <family val="2"/>
          </rPr>
          <t xml:space="preserve">These tables use the simple scores collected above and set them up for graphing. 
</t>
        </r>
        <r>
          <rPr>
            <sz val="8"/>
            <color rgb="FF000000"/>
            <rFont val="Tahoma"/>
            <family val="2"/>
          </rPr>
          <t xml:space="preserve">
</t>
        </r>
        <r>
          <rPr>
            <sz val="8"/>
            <color rgb="FF000000"/>
            <rFont val="Tahoma"/>
            <family val="2"/>
          </rPr>
          <t>This table is based primarilly on the mean scores.</t>
        </r>
      </text>
    </comment>
    <comment ref="E445" authorId="0" shapeId="0" xr:uid="{E7D5E617-D75C-3940-AB92-0B2BD46ECDE4}">
      <text>
        <r>
          <rPr>
            <b/>
            <sz val="8"/>
            <color rgb="FF000000"/>
            <rFont val="Tahoma"/>
            <family val="2"/>
          </rPr>
          <t>Normal Scores</t>
        </r>
        <r>
          <rPr>
            <sz val="8"/>
            <color rgb="FF000000"/>
            <rFont val="Tahoma"/>
            <family val="2"/>
          </rPr>
          <t xml:space="preserve">
</t>
        </r>
        <r>
          <rPr>
            <sz val="8"/>
            <color rgb="FF000000"/>
            <rFont val="Tahoma"/>
            <family val="2"/>
          </rPr>
          <t xml:space="preserve">These are hard-coded here
</t>
        </r>
      </text>
    </comment>
    <comment ref="C475" authorId="0" shapeId="0" xr:uid="{C5A7FDE5-D532-6A4C-A1D0-1E048F7782F7}">
      <text>
        <r>
          <rPr>
            <sz val="8"/>
            <color rgb="FF000000"/>
            <rFont val="Tahoma"/>
            <family val="2"/>
          </rPr>
          <t xml:space="preserve">Text descriptions for scores come from scales above - DO NOT type manually here.
</t>
        </r>
        <r>
          <rPr>
            <sz val="8"/>
            <color rgb="FF000000"/>
            <rFont val="Tahoma"/>
            <family val="2"/>
          </rPr>
          <t xml:space="preserve">
</t>
        </r>
        <r>
          <rPr>
            <sz val="8"/>
            <color rgb="FF000000"/>
            <rFont val="Tahoma"/>
            <family val="2"/>
          </rPr>
          <t>Headers (starting with "**") are typed here.</t>
        </r>
      </text>
    </comment>
    <comment ref="D475" authorId="0" shapeId="0" xr:uid="{7986532A-6075-AC4C-BEF3-2C5983F64741}">
      <text>
        <r>
          <rPr>
            <sz val="8"/>
            <color rgb="FF000000"/>
            <rFont val="Tahoma"/>
            <family val="2"/>
          </rPr>
          <t xml:space="preserve">These tables use the simple scores collected above and set them up for graphing. 
</t>
        </r>
        <r>
          <rPr>
            <sz val="8"/>
            <color rgb="FF000000"/>
            <rFont val="Tahoma"/>
            <family val="2"/>
          </rPr>
          <t xml:space="preserve">
</t>
        </r>
        <r>
          <rPr>
            <sz val="8"/>
            <color rgb="FF000000"/>
            <rFont val="Tahoma"/>
            <family val="2"/>
          </rPr>
          <t>This table is based primarilly on the mean scores.</t>
        </r>
      </text>
    </comment>
    <comment ref="E475" authorId="0" shapeId="0" xr:uid="{FBF2177F-1521-4944-9436-F55138D67C75}">
      <text>
        <r>
          <rPr>
            <b/>
            <sz val="8"/>
            <color rgb="FF000000"/>
            <rFont val="Tahoma"/>
            <family val="2"/>
          </rPr>
          <t>Normal Scores</t>
        </r>
        <r>
          <rPr>
            <sz val="8"/>
            <color rgb="FF000000"/>
            <rFont val="Tahoma"/>
            <family val="2"/>
          </rPr>
          <t xml:space="preserve">
</t>
        </r>
        <r>
          <rPr>
            <sz val="8"/>
            <color rgb="FF000000"/>
            <rFont val="Tahoma"/>
            <family val="2"/>
          </rPr>
          <t xml:space="preserve">These are hard-coded here
</t>
        </r>
      </text>
    </comment>
    <comment ref="C529" authorId="0" shapeId="0" xr:uid="{00000000-0006-0000-0100-000026000000}">
      <text>
        <r>
          <rPr>
            <sz val="8"/>
            <color rgb="FF000000"/>
            <rFont val="Tahoma"/>
            <family val="2"/>
          </rPr>
          <t xml:space="preserve">Displays first item in the list that meets condition TRUE. 
</t>
        </r>
        <r>
          <rPr>
            <sz val="8"/>
            <color rgb="FF000000"/>
            <rFont val="Tahoma"/>
            <family val="2"/>
          </rPr>
          <t xml:space="preserve">
</t>
        </r>
        <r>
          <rPr>
            <sz val="8"/>
            <color rgb="FF000000"/>
            <rFont val="Tahoma"/>
            <family val="2"/>
          </rPr>
          <t>If all conditions are FALSE, defaults to feedback in D533.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Jurgen Schmidt</author>
    <author>Jurgen</author>
  </authors>
  <commentList>
    <comment ref="A50" authorId="0" shapeId="0" xr:uid="{00000000-0006-0000-0300-000001000000}">
      <text>
        <r>
          <rPr>
            <b/>
            <sz val="8"/>
            <color rgb="FF000000"/>
            <rFont val="Tahoma"/>
            <family val="2"/>
          </rPr>
          <t>Page Break</t>
        </r>
      </text>
    </comment>
    <comment ref="A101" authorId="0" shapeId="0" xr:uid="{00000000-0006-0000-0300-000002000000}">
      <text>
        <r>
          <rPr>
            <b/>
            <sz val="8"/>
            <color rgb="FF000000"/>
            <rFont val="Tahoma"/>
            <family val="2"/>
          </rPr>
          <t>Page Break</t>
        </r>
      </text>
    </comment>
    <comment ref="A161" authorId="1" shapeId="0" xr:uid="{00000000-0006-0000-0300-000003000000}">
      <text>
        <r>
          <rPr>
            <b/>
            <sz val="8"/>
            <color indexed="81"/>
            <rFont val="Tahoma"/>
            <family val="2"/>
          </rPr>
          <t>Page Break</t>
        </r>
      </text>
    </comment>
    <comment ref="A223" authorId="0" shapeId="0" xr:uid="{4B41AC7C-F990-074B-AD93-D95D7995BE35}">
      <text>
        <r>
          <rPr>
            <b/>
            <sz val="8"/>
            <color rgb="FF000000"/>
            <rFont val="Tahoma"/>
            <family val="2"/>
          </rPr>
          <t>Page Break</t>
        </r>
      </text>
    </comment>
    <comment ref="A285" authorId="0" shapeId="0" xr:uid="{B5B96333-B791-BF45-863F-2CA514145DDF}">
      <text>
        <r>
          <rPr>
            <b/>
            <sz val="8"/>
            <color rgb="FF000000"/>
            <rFont val="Tahoma"/>
            <family val="2"/>
          </rPr>
          <t>Page Break</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<sst xmlns="http://schemas.openxmlformats.org/spreadsheetml/2006/main" count="1504" uniqueCount="861">
  <si>
    <t>Emotional Suffering</t>
  </si>
  <si>
    <t>Attention-Seeking Behavior</t>
  </si>
  <si>
    <t>DISSOCIATION SCALES</t>
  </si>
  <si>
    <t>Interpersonal Intrusiveness</t>
  </si>
  <si>
    <t>Nondissociative</t>
  </si>
  <si>
    <t>Pre-MID Diagnosis:</t>
  </si>
  <si>
    <t>I Have Parts Scale:</t>
  </si>
  <si>
    <t>I Have DID Scale:</t>
  </si>
  <si>
    <t>Mean Amnesia Score:</t>
  </si>
  <si>
    <t>(For Chart)</t>
  </si>
  <si>
    <t>DID</t>
  </si>
  <si>
    <t>PTSD</t>
  </si>
  <si>
    <t>Mean MID Score Interpretation</t>
  </si>
  <si>
    <t>Validity Scales</t>
  </si>
  <si>
    <t xml:space="preserve">  Attention-Seeking Behavior Scale</t>
  </si>
  <si>
    <r>
      <t xml:space="preserve">  </t>
    </r>
    <r>
      <rPr>
        <b/>
        <sz val="10"/>
        <rFont val="Arial"/>
        <family val="2"/>
      </rPr>
      <t>Rare Symptoms Scale</t>
    </r>
  </si>
  <si>
    <r>
      <t xml:space="preserve">  </t>
    </r>
    <r>
      <rPr>
        <b/>
        <sz val="10"/>
        <rFont val="Arial"/>
        <family val="2"/>
      </rPr>
      <t>Factitious Behavior Scale</t>
    </r>
  </si>
  <si>
    <t xml:space="preserve">  Memory Problems Scale</t>
  </si>
  <si>
    <t xml:space="preserve">  Depersonalization Scale</t>
  </si>
  <si>
    <r>
      <t xml:space="preserve">  </t>
    </r>
    <r>
      <rPr>
        <b/>
        <sz val="10"/>
        <rFont val="Arial"/>
        <family val="2"/>
      </rPr>
      <t>Derealization Scale</t>
    </r>
  </si>
  <si>
    <r>
      <t xml:space="preserve">  </t>
    </r>
    <r>
      <rPr>
        <b/>
        <sz val="10"/>
        <rFont val="Arial"/>
        <family val="2"/>
      </rPr>
      <t>Flashbacks Scale</t>
    </r>
  </si>
  <si>
    <t>Refer to question text as _Txxx and to question answer as _Qxxx. Do NOT use cell addresses.</t>
  </si>
  <si>
    <t xml:space="preserve">  Trance Scale</t>
  </si>
  <si>
    <t xml:space="preserve">  Child Voices Scale</t>
  </si>
  <si>
    <r>
      <t xml:space="preserve">  </t>
    </r>
    <r>
      <rPr>
        <b/>
        <sz val="10"/>
        <rFont val="Arial"/>
        <family val="2"/>
      </rPr>
      <t>Persecutory Voices Scale</t>
    </r>
  </si>
  <si>
    <r>
      <t xml:space="preserve">  </t>
    </r>
    <r>
      <rPr>
        <b/>
        <sz val="10"/>
        <rFont val="Arial"/>
        <family val="2"/>
      </rPr>
      <t>'Made'/Intrusive Impulses Scale</t>
    </r>
  </si>
  <si>
    <t xml:space="preserve">  'Made'/Intrusive Actions Scale</t>
  </si>
  <si>
    <t>MID Analysis</t>
  </si>
  <si>
    <t xml:space="preserve">  Speech Insertion Scale</t>
  </si>
  <si>
    <r>
      <t xml:space="preserve">  </t>
    </r>
    <r>
      <rPr>
        <b/>
        <sz val="10"/>
        <rFont val="Arial"/>
        <family val="2"/>
      </rPr>
      <t>Thought Insertion Scale</t>
    </r>
  </si>
  <si>
    <t xml:space="preserve">  Temporary Loss of Knowledge Scale</t>
  </si>
  <si>
    <r>
      <t xml:space="preserve">  </t>
    </r>
    <r>
      <rPr>
        <b/>
        <sz val="10"/>
        <rFont val="Arial"/>
        <family val="2"/>
      </rPr>
      <t>Experience of Self-Alteration Scale</t>
    </r>
  </si>
  <si>
    <r>
      <t xml:space="preserve">  </t>
    </r>
    <r>
      <rPr>
        <b/>
        <sz val="10"/>
        <rFont val="Arial"/>
        <family val="2"/>
      </rPr>
      <t>Self-Puzzlement Scale</t>
    </r>
  </si>
  <si>
    <r>
      <t xml:space="preserve">  </t>
    </r>
    <r>
      <rPr>
        <b/>
        <sz val="10"/>
        <rFont val="Arial"/>
        <family val="2"/>
      </rPr>
      <t>Time Loss Scale</t>
    </r>
  </si>
  <si>
    <r>
      <t xml:space="preserve">  </t>
    </r>
    <r>
      <rPr>
        <b/>
        <sz val="10"/>
        <rFont val="Arial"/>
        <family val="2"/>
      </rPr>
      <t>"Coming to" Scale</t>
    </r>
  </si>
  <si>
    <r>
      <t xml:space="preserve">  </t>
    </r>
    <r>
      <rPr>
        <b/>
        <sz val="10"/>
        <rFont val="Arial"/>
        <family val="2"/>
      </rPr>
      <t>Fugue Scale</t>
    </r>
  </si>
  <si>
    <t>Raw scores are collected here…
Calculations, etc come from the Item &amp; criteria docs</t>
  </si>
  <si>
    <t>Ego-Alien Experiences</t>
  </si>
  <si>
    <t>C. Fully-Dissociated Actions of Alters or Self-States</t>
  </si>
  <si>
    <t>Dangerous Persecutory Voices</t>
  </si>
  <si>
    <t>Dangerously Toxic PTSD Symptoms</t>
  </si>
  <si>
    <t>Dissociated Self-Injury</t>
  </si>
  <si>
    <t>Critical Items Scale</t>
  </si>
  <si>
    <t>Somatoform Symptoms</t>
  </si>
  <si>
    <t>Temporary Loss of Knowledge</t>
  </si>
  <si>
    <t>Mini-MID Score:</t>
  </si>
  <si>
    <t>Mini-MID Score</t>
  </si>
  <si>
    <t xml:space="preserve">  Emotional Suffering Scale</t>
  </si>
  <si>
    <r>
      <t xml:space="preserve">  </t>
    </r>
    <r>
      <rPr>
        <b/>
        <sz val="10"/>
        <rFont val="Arial"/>
        <family val="2"/>
      </rPr>
      <t>Somatoform Symptoms Scale</t>
    </r>
  </si>
  <si>
    <t>Emotional Suffering:</t>
  </si>
  <si>
    <t>Somatoform Symptoms:</t>
  </si>
  <si>
    <t>Voices/Internal Struggle:</t>
  </si>
  <si>
    <t>Speech Insertion:</t>
  </si>
  <si>
    <r>
      <t xml:space="preserve">  </t>
    </r>
    <r>
      <rPr>
        <b/>
        <sz val="10"/>
        <rFont val="Arial"/>
        <family val="2"/>
      </rPr>
      <t>Finding Objects Among Possessions Scale</t>
    </r>
  </si>
  <si>
    <r>
      <t xml:space="preserve">  </t>
    </r>
    <r>
      <rPr>
        <b/>
        <sz val="10"/>
        <rFont val="Arial"/>
        <family val="2"/>
      </rPr>
      <t>Finding Evidence of Recent Actions Scale</t>
    </r>
  </si>
  <si>
    <t>Thinking about how little attention you received from your parents.</t>
  </si>
  <si>
    <t xml:space="preserve">Hearing a lot of noise or yelling in your head.  </t>
  </si>
  <si>
    <t>Hearing voices, which come from unusual places (for example, the air conditioner, the computer, the walls, etc.), that try to tell you what to do.</t>
  </si>
  <si>
    <t>Words just flowing from your mouth as if they were not in your control.</t>
  </si>
  <si>
    <t xml:space="preserve">Listening to someone and realizing that you did not hear part of what he/she said.  </t>
  </si>
  <si>
    <t>Having snapshots of past trauma that suddenly flash in your mind.</t>
  </si>
  <si>
    <t>Feeling no pain (when you should have felt pain) (for no known medical reason).</t>
  </si>
  <si>
    <r>
      <t xml:space="preserve">Discovering that you have a significant injury (for example, a cut, or a burn, or </t>
    </r>
    <r>
      <rPr>
        <i/>
        <sz val="10"/>
        <rFont val="Arial"/>
        <family val="2"/>
      </rPr>
      <t xml:space="preserve">many </t>
    </r>
    <r>
      <rPr>
        <sz val="10"/>
        <rFont val="Arial"/>
        <family val="2"/>
      </rPr>
      <t>bruises), and having no memory of how it happened.</t>
    </r>
  </si>
  <si>
    <t xml:space="preserve">Hearing a voice in your head that calls you a liar or tells you that certain events never happened.  </t>
  </si>
  <si>
    <t xml:space="preserve">Feeling as if part of your body (or your whole body) has disappeared.  </t>
  </si>
  <si>
    <t xml:space="preserve">Suddenly finding yourself somewhere (for example, at the beach, at work, in a nightclub, in your car, etc.) with no memory of how you got there. </t>
  </si>
  <si>
    <t>Feeling that there is another person inside you who can come out and speak if it wants.</t>
  </si>
  <si>
    <t>Being willing to do or say almost anything to get somebody to feel that you are ‘special.’</t>
  </si>
  <si>
    <t>Having nightmares about a trauma from your past.</t>
  </si>
  <si>
    <t>People noticing your blank stare and the fact that you are ‘gone.’</t>
  </si>
  <si>
    <t xml:space="preserve">  Being Told of Disremembered Actions Scale</t>
  </si>
  <si>
    <t>Manipulativeness</t>
  </si>
  <si>
    <t>Manipulativeness:</t>
  </si>
  <si>
    <t>Being pleased by the concern and sympathy of others when they hear about the traumas that you have suffered.</t>
  </si>
  <si>
    <t xml:space="preserve">‘Coming to’ and finding that you have done something you don’t remember doing (for example, smashed something, cut yourself, cleaned the whole house, etc.). </t>
  </si>
  <si>
    <t>Having thoughts that don’t really seem to belong to you.</t>
  </si>
  <si>
    <t>Having pain while urinating (for no known medical reason).</t>
  </si>
  <si>
    <t>Switching back and forth between feeling like a human and feeling like a member of some other species (for example, a cat, a dog, a squirrel, etc.).</t>
  </si>
  <si>
    <t>Having ‘tunnel vision’ (where your visual field narrows down to just a tunnel) (for no known medical reason).</t>
  </si>
  <si>
    <r>
      <t xml:space="preserve">Having difficulty staying </t>
    </r>
    <r>
      <rPr>
        <i/>
        <sz val="10"/>
        <rFont val="Arial"/>
        <family val="2"/>
      </rPr>
      <t>out</t>
    </r>
    <r>
      <rPr>
        <sz val="10"/>
        <rFont val="Arial"/>
        <family val="2"/>
      </rPr>
      <t xml:space="preserve"> of trance.</t>
    </r>
  </si>
  <si>
    <t>Your mood changing rapidly without any reason.</t>
  </si>
  <si>
    <t>Discovering that you have attempted suicide, but having no memory of having done it.</t>
  </si>
  <si>
    <t>Finding things that you must have written (or drawn), but with no memory of having done so.</t>
  </si>
  <si>
    <t xml:space="preserve">Suddenly feeling very small, like a young child. </t>
  </si>
  <si>
    <t>Suddenly not knowing how to do your job.</t>
  </si>
  <si>
    <t xml:space="preserve">Feeling as if there is a struggle going on inside of you about who you really are.  </t>
  </si>
  <si>
    <t xml:space="preserve">Your body suddenly feeling as if it isn’t really yours.  </t>
  </si>
  <si>
    <t>Being bothered by flashbacks for several days in a row.</t>
  </si>
  <si>
    <t>Being confused or puzzled by your emotions.</t>
  </si>
  <si>
    <t>Not remembering what happens when you drive a familiar route in your car.</t>
  </si>
  <si>
    <t>Distinct changes in your handwriting.</t>
  </si>
  <si>
    <r>
      <t xml:space="preserve">Very strong feelings (for example, fear, or anger, or emotional pain and hurt) that </t>
    </r>
    <r>
      <rPr>
        <i/>
        <sz val="10"/>
        <rFont val="Arial"/>
        <family val="2"/>
      </rPr>
      <t>suddenly go away.</t>
    </r>
  </si>
  <si>
    <t>Looking in the mirror and seeing someone other than yourself.</t>
  </si>
  <si>
    <t>Some thoughts are suddenly ‘taken away from you.’</t>
  </si>
  <si>
    <t xml:space="preserve">Hearing a voice in your head that tells you to “shut up.” </t>
  </si>
  <si>
    <t xml:space="preserve">Sudden strong feelings of anger that seem to come from out of nowhere. </t>
  </si>
  <si>
    <t xml:space="preserve">Feeling that there are large gaps in your memory.  </t>
  </si>
  <si>
    <t>Feeling as if you are two different people---one who is going through the motions of daily life and the other who is just watching.</t>
  </si>
  <si>
    <t xml:space="preserve">Feeling that your surroundings (or other people) were fading away or disappearing.  </t>
  </si>
  <si>
    <t>Having traumatic flashbacks that make you want to inflict pain on yourself.</t>
  </si>
  <si>
    <t>Going into trance for hours.</t>
  </si>
  <si>
    <t>Feeling like some of your behavior isn’t really ‘yours.’</t>
  </si>
  <si>
    <t>Forgetting where you put something.</t>
  </si>
  <si>
    <t>Having dreams that you don’t remember the next day.</t>
  </si>
  <si>
    <t xml:space="preserve">Desperately wanting to talk to someone about your pain or distress.  </t>
  </si>
  <si>
    <t>Feeling the presence of an angry part in your head that tries to control what you do or say.</t>
  </si>
  <si>
    <t xml:space="preserve">Your mind blocking or going totally empty. </t>
  </si>
  <si>
    <t xml:space="preserve">Feeling like time slows down or stops.  </t>
  </si>
  <si>
    <t xml:space="preserve">Bad memories coming into your mind and you can’t get rid of them.  </t>
  </si>
  <si>
    <t>Drifting into trance without even realizing that it is happening.</t>
  </si>
  <si>
    <r>
      <t xml:space="preserve">Words come out of your mouth, but you </t>
    </r>
    <r>
      <rPr>
        <i/>
        <sz val="10"/>
        <rFont val="Arial"/>
        <family val="2"/>
      </rPr>
      <t>didn’t</t>
    </r>
    <r>
      <rPr>
        <sz val="10"/>
        <rFont val="Arial"/>
        <family val="2"/>
      </rPr>
      <t xml:space="preserve"> say them---you don’t know </t>
    </r>
    <r>
      <rPr>
        <i/>
        <sz val="10"/>
        <rFont val="Arial"/>
        <family val="2"/>
      </rPr>
      <t>where</t>
    </r>
    <r>
      <rPr>
        <sz val="10"/>
        <rFont val="Arial"/>
        <family val="2"/>
      </rPr>
      <t xml:space="preserve"> those words came from.</t>
    </r>
  </si>
  <si>
    <t xml:space="preserve">Hearing voices crying in your head.  </t>
  </si>
  <si>
    <t>Suddenly finding yourself standing someplace and you can’t remember what you have been doing before that.</t>
  </si>
  <si>
    <t>Something in your mind interferes when you think about things that you ‘shouldn’t’ think about.</t>
  </si>
  <si>
    <t>Daydreaming.</t>
  </si>
  <si>
    <t>Being able to remember very little of your past.</t>
  </si>
  <si>
    <t xml:space="preserve">Not recognizing yourself in the mirror. </t>
  </si>
  <si>
    <t xml:space="preserve">Feeling hurt. </t>
  </si>
  <si>
    <r>
      <t xml:space="preserve">Re-experiencing </t>
    </r>
    <r>
      <rPr>
        <i/>
        <sz val="10"/>
        <rFont val="Arial"/>
        <family val="2"/>
      </rPr>
      <t>body sensations</t>
    </r>
    <r>
      <rPr>
        <sz val="10"/>
        <rFont val="Arial"/>
        <family val="2"/>
      </rPr>
      <t xml:space="preserve"> from a past traumatic event.</t>
    </r>
  </si>
  <si>
    <t xml:space="preserve">Part of your body (for example, arm, leg, head, etc.) seems to disappear and doesn’t re-appear for several days.     </t>
  </si>
  <si>
    <t>When something upsetting starts to happen, you ‘go away’ in your mind.</t>
  </si>
  <si>
    <t>Telling others about your psychological disorder(s).</t>
  </si>
  <si>
    <t>When you are angry, doing or saying things that you don’t remember (after you calm down).</t>
  </si>
  <si>
    <t xml:space="preserve">Exaggerating the symptoms of a psychological illness (that you genuinely have) in order to get sympathy or attention (for example, depression, bulimia, posttraumatic stress disorder, memory blackouts, being suicidal, etc.). </t>
  </si>
  <si>
    <t>Being able to do something really well one time---and then not being able to do it at all at another time.</t>
  </si>
  <si>
    <t>The Extended MID Report</t>
  </si>
  <si>
    <t xml:space="preserve">Being unable to recall something---then, something “jogs” your memory and you remember it. </t>
  </si>
  <si>
    <t xml:space="preserve">Feeling like you are ‘inside’ yourself, watching what you are doing. </t>
  </si>
  <si>
    <t>Rare Symptoms</t>
  </si>
  <si>
    <t>Factitious Behavior</t>
  </si>
  <si>
    <t>Memory Problems</t>
  </si>
  <si>
    <t>Depersonalization</t>
  </si>
  <si>
    <t>Derealization</t>
  </si>
  <si>
    <t>Flashbacks</t>
  </si>
  <si>
    <t>Trance</t>
  </si>
  <si>
    <t>Child Voices</t>
  </si>
  <si>
    <t>Persecutory Voices</t>
  </si>
  <si>
    <t>Time Loss</t>
  </si>
  <si>
    <t>"Coming to"</t>
  </si>
  <si>
    <t>Answer</t>
  </si>
  <si>
    <t>While watching TV, you find that you are thinking about something else.</t>
  </si>
  <si>
    <t>Forgetting what you did earlier in the day.</t>
  </si>
  <si>
    <t>Feeling as if your body (or certain parts of it) are unreal.</t>
  </si>
  <si>
    <t>Having an emotion (for example, fear, sadness, anger, happiness) that doesn’t feel like it is 'yours.'</t>
  </si>
  <si>
    <t>Things around you suddenly seeming strange.</t>
  </si>
  <si>
    <t xml:space="preserve">Having another personality that sometimes ‘takes over.’ </t>
  </si>
  <si>
    <t>Having pain in your genitals (for no known medical reason).</t>
  </si>
  <si>
    <t>Hearing the voice of a child in your head.</t>
  </si>
  <si>
    <t>Forgetting errands that you had planned to do.</t>
  </si>
  <si>
    <t>Feeling that your mind or body has been taken over by a famous person (for example, Elvis Presley, Jesus Christ, Madonna, President Kennedy, etc.).</t>
  </si>
  <si>
    <t>Trying to make someone jealous.</t>
  </si>
  <si>
    <t xml:space="preserve">Feeling as if close friends, relatives, or your own home seems strange or foreign.  </t>
  </si>
  <si>
    <r>
      <t xml:space="preserve">Reliving a traumatic event so vividly that you totally lose contact with where you </t>
    </r>
    <r>
      <rPr>
        <i/>
        <sz val="10"/>
        <rFont val="Arial"/>
        <family val="2"/>
      </rPr>
      <t>actually</t>
    </r>
    <r>
      <rPr>
        <sz val="10"/>
        <rFont val="Arial"/>
        <family val="2"/>
      </rPr>
      <t xml:space="preserve"> are (that is, you think that you are ‘back there and then’).</t>
    </r>
  </si>
  <si>
    <t>Having difficulty swallowing (for no known medical reason).</t>
  </si>
  <si>
    <t>Having trance-like episodes where you stare off into space and lose awareness of what is going on around you.</t>
  </si>
  <si>
    <t>Being puzzled by what you do or say.</t>
  </si>
  <si>
    <t>Seeing images of a child who seems to ‘live’ in your head.</t>
  </si>
  <si>
    <t xml:space="preserve">Being told of things that you had recently done, but with absolutely no memory of having done those things. </t>
  </si>
  <si>
    <t>Feeling distant or removed from your thoughts and actions.</t>
  </si>
  <si>
    <t>Noticing the presence of a child inside you.</t>
  </si>
  <si>
    <t xml:space="preserve">Things in your home disappear or get moved around (and you don’t know how this is happening). </t>
  </si>
  <si>
    <t>Hearing a voice in your head that is soothing, helpful, or protective.</t>
  </si>
  <si>
    <t xml:space="preserve">Thoughts being imposed on you or imposed on your mind. </t>
  </si>
  <si>
    <t>Pretending that something upsetting happened to you so that others would care about you (for example, being raped, military combat, physical or emotional abuse, sexual abuse, etc.).</t>
  </si>
  <si>
    <t xml:space="preserve">Strong thoughts in your head that “come from out of nowhere.”  </t>
  </si>
  <si>
    <t>Having blank spells or blackouts in your memory.</t>
  </si>
  <si>
    <t>Change column widths on the report and chart pages at your own risk !!!</t>
  </si>
  <si>
    <r>
      <t xml:space="preserve">Not remembering what you ate at your last meal---or even </t>
    </r>
    <r>
      <rPr>
        <i/>
        <sz val="10"/>
        <rFont val="Arial"/>
        <family val="2"/>
      </rPr>
      <t>whether</t>
    </r>
    <r>
      <rPr>
        <sz val="10"/>
        <rFont val="Arial"/>
        <family val="2"/>
      </rPr>
      <t xml:space="preserve"> you ate.</t>
    </r>
  </si>
  <si>
    <t xml:space="preserve">Feeling like you’re only partially ‘there’ (or not really ‘there’ at all).   </t>
  </si>
  <si>
    <t>Your mind being controlled by an external force (for example, microwaves, the CIA, radiation from outer space, etc.).</t>
  </si>
  <si>
    <t xml:space="preserve">Having no feeling at all in your body (for no known medical reason).  </t>
  </si>
  <si>
    <t>Feeling divided, as if you have several independent parts or sides.</t>
  </si>
  <si>
    <t>MID Factor Scales Graph Setup</t>
  </si>
  <si>
    <t>Persecutory Intrusions</t>
  </si>
  <si>
    <t>Angry Intrusions</t>
  </si>
  <si>
    <t>Autobiographical Memory</t>
  </si>
  <si>
    <t>Amnestic Disorientation</t>
  </si>
  <si>
    <t>Distress about Memory</t>
  </si>
  <si>
    <t>Body Symptoms</t>
  </si>
  <si>
    <t>Nobody cares about you.</t>
  </si>
  <si>
    <t xml:space="preserve">Hearing voices in your head that argue or converse with one another.  </t>
  </si>
  <si>
    <t xml:space="preserve">‘Losing’ a chunk of time and having a total blank for it. </t>
  </si>
  <si>
    <t xml:space="preserve">Strong feelings of emotional pain and hurt that come from out of nowhere.  </t>
  </si>
  <si>
    <t>While reading, you find that you are thinking about something else.</t>
  </si>
  <si>
    <t>Having strong impulses to do something---but the impulses don’t feel like they belong to you.</t>
  </si>
  <si>
    <t>Feeling empty and painfully alone.</t>
  </si>
  <si>
    <t>Feeling mechanical or not really human.</t>
  </si>
  <si>
    <t xml:space="preserve">Things around you feeling unreal. </t>
  </si>
  <si>
    <t>Pretending that you have a physical illness in order to get sympathy (for example, flu, cancer, headache, having an operation, etc.).</t>
  </si>
  <si>
    <t>Not being able to see for a while (as if you are blind) (for no known medical reason).</t>
  </si>
  <si>
    <t>Feeling that the color of your body is changing.</t>
  </si>
  <si>
    <t>Feeling split or divided inside.</t>
  </si>
  <si>
    <t>Hearing a voice in your head that tries to tell you what to do.</t>
  </si>
  <si>
    <t>Finding things at home (for example, shoes, clothes, toys, toilet articles, etc.), that you don’t remember buying.</t>
  </si>
  <si>
    <t>Feeling very detached from your behavior as you “go through the motions” of daily life.</t>
  </si>
  <si>
    <t>Feeling a struggle inside you about what to think, how to feel, what you should do.</t>
  </si>
  <si>
    <t>Not remembering where you were the day before.</t>
  </si>
  <si>
    <t>Feeling that another part or entity inside you tries to stop you from doing or saying something.</t>
  </si>
  <si>
    <t>Wishing that someone would finally realize how much you hurt.</t>
  </si>
  <si>
    <t>More than one part of you has been reacting to these questions.</t>
  </si>
  <si>
    <t xml:space="preserve">Feeling the presence of an angry part in your head that seems to hate you. </t>
  </si>
  <si>
    <t>People telling you that you sometimes act so differently that you seem like another person.</t>
  </si>
  <si>
    <t>Switching back and forth between feeling like a man and feeling like a woman.</t>
  </si>
  <si>
    <t>Having another part inside that has different memories, behaviors, and feelings than you do.</t>
  </si>
  <si>
    <t>Feeling that your feet or hands (or other parts of your body) have changed in size.</t>
  </si>
  <si>
    <t xml:space="preserve">There were times when you ‘came to’ and found pills or a razor blade (or something else to hurt yourself with) in your hand.  </t>
  </si>
  <si>
    <t xml:space="preserve">Finding writings at your home in handwriting that you don’t recognize.  </t>
  </si>
  <si>
    <t>Having flashbacks of poor episodes of your favorite TV show.</t>
  </si>
  <si>
    <t xml:space="preserve">Hearing a voice in your head that calls you no good, worthless, or a failure. </t>
  </si>
  <si>
    <t>Having a very angry part that ‘comes out’ and says and does things that you would never do or say.</t>
  </si>
  <si>
    <t>Feeling like some of your thoughts are removed from your mind---by some force or by some other part of you.</t>
  </si>
  <si>
    <t>Feeling mad.</t>
  </si>
  <si>
    <t xml:space="preserve">Being unable to remember who you are.  </t>
  </si>
  <si>
    <t xml:space="preserve">Talking to others about how you have been hurt or mistreated.  </t>
  </si>
  <si>
    <t xml:space="preserve">Being in a familiar place, but finding it strange and unfamiliar. </t>
  </si>
  <si>
    <t xml:space="preserve">Feeling uncertain about who you really are. </t>
  </si>
  <si>
    <r>
      <t xml:space="preserve">‘Coming to’ in the middle of a conversation with someone and having no idea what you and that person have been talking about---you didn’t even know that you were </t>
    </r>
    <r>
      <rPr>
        <i/>
        <sz val="10"/>
        <rFont val="Arial"/>
        <family val="2"/>
      </rPr>
      <t>having</t>
    </r>
    <r>
      <rPr>
        <sz val="10"/>
        <rFont val="Arial"/>
        <family val="2"/>
      </rPr>
      <t xml:space="preserve"> a conversation.</t>
    </r>
  </si>
  <si>
    <t>Talking to others about very serious traumas that you have experienced.</t>
  </si>
  <si>
    <t>Your thoughts being broadcast so that other people can actually hear them.</t>
  </si>
  <si>
    <t>Being told that there were times when you did not recognize friends or family members (for example, asking your spouse or friend, “Who are you?”).</t>
  </si>
  <si>
    <t>Being rejected by others.</t>
  </si>
  <si>
    <t>Feeling the presence of an old man inside you who wants to read his newspaper or go to the bathroom.</t>
  </si>
  <si>
    <t>Being unable to remember your name, or age, or address.</t>
  </si>
  <si>
    <t xml:space="preserve">Your moods changing so rapidly that you don’t know what you are going to feel from one minute to the next.  </t>
  </si>
  <si>
    <t xml:space="preserve">Feeling that other people, objects, or the world around you are not real. </t>
  </si>
  <si>
    <t>Being angry that your life is ruined.</t>
  </si>
  <si>
    <t xml:space="preserve">Being paralyzed or unable to move (for no known medical reason).  </t>
  </si>
  <si>
    <t xml:space="preserve">Hearing a voice in your head and, at the same time, seeing an image of that ‘person’ or of that voice. </t>
  </si>
  <si>
    <t>Nobody understands how much you hurt.</t>
  </si>
  <si>
    <t>Exaggerating the symptoms of a physical illness (that you genuinely have) in order to get sympathy or attention (for example, flu, cold, headache, fever, pain, etc.).</t>
  </si>
  <si>
    <t>Finding things in your shopping bags, which you don’t remember buying.</t>
  </si>
  <si>
    <t xml:space="preserve">Hurting yourself so that someone would care or pay attention. </t>
  </si>
  <si>
    <t>Feeling the pain of never being really special to anyone.</t>
  </si>
  <si>
    <t>Feeling like you are often different from yourself.</t>
  </si>
  <si>
    <t xml:space="preserve">Not being able to hear for a while (as if you are deaf) (for no known medical reason). </t>
  </si>
  <si>
    <t>Having to ‘stretch the truth’ to get your doctor’s (or therapist’s) concern or attention.</t>
  </si>
  <si>
    <t xml:space="preserve">Feeling disconnected from everything around you.  </t>
  </si>
  <si>
    <t xml:space="preserve">Not being able to keep friends.  </t>
  </si>
  <si>
    <t>Not remembering large parts of your childhood after age 5.</t>
  </si>
  <si>
    <t>Being so bothered by flashbacks that it was hard to get out of bed and face the day.</t>
  </si>
  <si>
    <t>Being impulsive.</t>
  </si>
  <si>
    <t>Finding yourself lying in bed (on the sofa, etc.) with no memory of how you got there.</t>
  </si>
  <si>
    <t>Feeling that pieces of your past are missing.</t>
  </si>
  <si>
    <t xml:space="preserve">Things around you seeming to change size or shape. </t>
  </si>
  <si>
    <t>Having traumatic flashbacks that make you want to die.</t>
  </si>
  <si>
    <t xml:space="preserve">Feeling that you have multiple personalities. </t>
  </si>
  <si>
    <t>Being bothered by how much you ‘trance out.’</t>
  </si>
  <si>
    <t>Hearing a voice in your head that calls you names (for example, wimp, stupid, whore, slut, bitch, etc.).</t>
  </si>
  <si>
    <t>Suddenly realizing that hours have gone by and not knowing what you were doing during that time.</t>
  </si>
  <si>
    <t xml:space="preserve">Having to go back and correct mistakes that you made. </t>
  </si>
  <si>
    <t>Poor memory causing serious difficulty for you.</t>
  </si>
  <si>
    <t>Feeling that your vision was suddenly sharper or that colors suddenly seemed more vivid or more intense.</t>
  </si>
  <si>
    <t>Reliving a past trauma so vividly that you see it, hear it, feel it, smell it, etc.</t>
  </si>
  <si>
    <t xml:space="preserve">Your thoughts and feelings are so changeable that you don’t understand yourself. </t>
  </si>
  <si>
    <t>Going into trance several days in a row.</t>
  </si>
  <si>
    <t>Not feeling together, not feeling whole.</t>
  </si>
  <si>
    <t>Having other people (or parts) inside you who have their own names.</t>
  </si>
  <si>
    <t xml:space="preserve">Thoughts coming into your mind that you cannot stop. </t>
  </si>
  <si>
    <r>
      <t xml:space="preserve">Being told about things that you did---that you </t>
    </r>
    <r>
      <rPr>
        <i/>
        <sz val="10"/>
        <rFont val="Arial"/>
        <family val="2"/>
      </rPr>
      <t>don’t</t>
    </r>
    <r>
      <rPr>
        <sz val="10"/>
        <rFont val="Arial"/>
        <family val="2"/>
      </rPr>
      <t xml:space="preserve"> remember doing and would never do (for example, swearing like a sailor, being very mad, acting like a young child, or being very sexual).  </t>
    </r>
  </si>
  <si>
    <t>Having trance-like episodes during which you see yourself being taken into a spaceship and experimented on by aliens.</t>
  </si>
  <si>
    <t>Being bothered or upset by how much you forget.</t>
  </si>
  <si>
    <t>Thinking about nothing.</t>
  </si>
  <si>
    <t>Feeling like you are not the same kind of person all the time.</t>
  </si>
  <si>
    <t xml:space="preserve">Hearing a voice in your head that wants you to die.  </t>
  </si>
  <si>
    <t xml:space="preserve">Suddenly finding yourself somewhere odd at home (for example, inside the closet, under a bed, curled up on the floor, etc.) with no knowledge of how you got there.  </t>
  </si>
  <si>
    <t>Feeling as if there is something inside you that takes control of your behavior or speech.</t>
  </si>
  <si>
    <t>Totally forgetting how to do something that you know very well how to do (for example, how to drive, how to read, how to use the computer, how to play the piano, etc.).</t>
  </si>
  <si>
    <t>Hearing a voice in your head that keeps talking about AIDS and homosexuals.</t>
  </si>
  <si>
    <t>Feeling that part of your body is disconnected (detached) from the rest of your body.</t>
  </si>
  <si>
    <t>Wishing you knew why you feel and behave the way you do.</t>
  </si>
  <si>
    <t>Hearing sounds from nearby as if they were coming from far away (for no known medical reason).</t>
  </si>
  <si>
    <t>Going into trance and being possessed by a spirit or demon.</t>
  </si>
  <si>
    <t xml:space="preserve">Immediately forgetting what other people tell you. </t>
  </si>
  <si>
    <t xml:space="preserve">Not being sure about what is real (and what is unreal) in your surroundings. </t>
  </si>
  <si>
    <t>Being so bothered by flashbacks that it is hard to function at work (or it is hard to carry out your daily responsibilities).</t>
  </si>
  <si>
    <t>Having difficulty walking (for no known medical reason).</t>
  </si>
  <si>
    <t>Switching back and forth between feeling like an adult and feeling like a child.</t>
  </si>
  <si>
    <t>Hearing a voice in your head that wants you to hurt yourself.</t>
  </si>
  <si>
    <t xml:space="preserve">When something upsetting happens, you go blank and lose a chunk of time.  </t>
  </si>
  <si>
    <t>After a nightmare, you wake up and find yourself not in bed (for example, on the floor, in the closet, etc.).</t>
  </si>
  <si>
    <t>Not being able to remember something, but feeling that it is “right on the tip of your tongue.”</t>
  </si>
  <si>
    <t>Making decisions too quickly.</t>
  </si>
  <si>
    <t>Feeling very confused about who you really are.</t>
  </si>
  <si>
    <t>Feeling that important things happened to you earlier in your life, but you cannot remember them.</t>
  </si>
  <si>
    <t>Standing outside of your body, watching yourself as if you were another person.</t>
  </si>
  <si>
    <t>Feeling as if you were looking at the world through a fog so that people and objects felt far away or unclear.</t>
  </si>
  <si>
    <t>Seeing or talking with others who have the same disorder that you have.</t>
  </si>
  <si>
    <t xml:space="preserve">Having seizures for which your doctor can find no reason. </t>
  </si>
  <si>
    <t xml:space="preserve">Going into trance so much (or for so long) that it interferes with your daily activities and responsibilities.  </t>
  </si>
  <si>
    <t>Calculations…</t>
  </si>
  <si>
    <t>Self-Alteration, Self-States, &amp; Alters</t>
  </si>
  <si>
    <t>I Have DID</t>
  </si>
  <si>
    <t>I Have Parts</t>
  </si>
  <si>
    <t>Child Parts</t>
  </si>
  <si>
    <t>Helper Parts</t>
  </si>
  <si>
    <t>Angry Parts</t>
  </si>
  <si>
    <t>Persecutor Parts</t>
  </si>
  <si>
    <t>Psychosis Screen</t>
  </si>
  <si>
    <t>Characterological Scales</t>
  </si>
  <si>
    <t>Identity Confusion</t>
  </si>
  <si>
    <t>Abandonment</t>
  </si>
  <si>
    <t>Functionality/Impairment Scales</t>
  </si>
  <si>
    <t>Fugues</t>
  </si>
  <si>
    <t>Mean MID Score</t>
  </si>
  <si>
    <t>Amnesia</t>
  </si>
  <si>
    <t>Cognitive Distraction</t>
  </si>
  <si>
    <t>Voices</t>
  </si>
  <si>
    <t>Self-States and Alters</t>
  </si>
  <si>
    <t>Ancillary</t>
  </si>
  <si>
    <t>Criterion A Scales</t>
  </si>
  <si>
    <t>Criterion B Scales</t>
  </si>
  <si>
    <t>Criterion C Scales</t>
  </si>
  <si>
    <t>Pathological Dissociation Scales</t>
  </si>
  <si>
    <t>Manipulative Self-Injury</t>
  </si>
  <si>
    <t>BPD Index</t>
  </si>
  <si>
    <t>mean</t>
  </si>
  <si>
    <t>of 10</t>
  </si>
  <si>
    <t>MID Dissociation Scales Graph Setup</t>
  </si>
  <si>
    <t>B1</t>
  </si>
  <si>
    <t>B2</t>
  </si>
  <si>
    <t>B3</t>
  </si>
  <si>
    <t>B4</t>
  </si>
  <si>
    <t>B5</t>
  </si>
  <si>
    <t>B6</t>
  </si>
  <si>
    <t>B7</t>
  </si>
  <si>
    <t>B8</t>
  </si>
  <si>
    <t>B9</t>
  </si>
  <si>
    <t>B10</t>
  </si>
  <si>
    <t>B11</t>
  </si>
  <si>
    <t>a</t>
  </si>
  <si>
    <t>b</t>
  </si>
  <si>
    <t>c</t>
  </si>
  <si>
    <t>Miscellaneous Scales/Scores</t>
  </si>
  <si>
    <t>Schneiderian First-Rank Symptoms</t>
  </si>
  <si>
    <t>Voices Arguing</t>
  </si>
  <si>
    <t>Voices Commenting</t>
  </si>
  <si>
    <t>Made Impulses</t>
  </si>
  <si>
    <t>Made Actions</t>
  </si>
  <si>
    <t>Influences on Body</t>
  </si>
  <si>
    <t>Thought Withdrawal</t>
  </si>
  <si>
    <t>Thought Insertion</t>
  </si>
  <si>
    <t>Thought Broadcasting</t>
  </si>
  <si>
    <t xml:space="preserve"> </t>
  </si>
  <si>
    <t>The MID Report</t>
  </si>
  <si>
    <t>Sex:</t>
  </si>
  <si>
    <t>Age:</t>
  </si>
  <si>
    <t>Date:</t>
  </si>
  <si>
    <t>Race:</t>
  </si>
  <si>
    <t>Education:</t>
  </si>
  <si>
    <t>Factitious Behavior:</t>
  </si>
  <si>
    <t>Rare Symptoms:</t>
  </si>
  <si>
    <t>Cognitive Distraction:</t>
  </si>
  <si>
    <t>Severe Dissociation:</t>
  </si>
  <si>
    <t>(of 8)</t>
  </si>
  <si>
    <t>(of 6)</t>
  </si>
  <si>
    <t>Memory Problems:</t>
  </si>
  <si>
    <t>Depersonalization:</t>
  </si>
  <si>
    <t>Derealization:</t>
  </si>
  <si>
    <t>Flashbacks:</t>
  </si>
  <si>
    <t>Trance:</t>
  </si>
  <si>
    <t>Child:</t>
  </si>
  <si>
    <t>Helper:</t>
  </si>
  <si>
    <t>Angry:</t>
  </si>
  <si>
    <t>Persecutor:</t>
  </si>
  <si>
    <t>(of 11)</t>
  </si>
  <si>
    <t>Child Voices:</t>
  </si>
  <si>
    <t>Persecutory Voices:</t>
  </si>
  <si>
    <t>Experiences of Self-Alteration:</t>
  </si>
  <si>
    <t>Puzzlement about Oneself:</t>
  </si>
  <si>
    <t>Time Loss:</t>
  </si>
  <si>
    <t>"Coming to":</t>
  </si>
  <si>
    <t>Fugues:</t>
  </si>
  <si>
    <t>Being Told of Disremembered Actions:</t>
  </si>
  <si>
    <t>Finding Objects Among Possessions:</t>
  </si>
  <si>
    <t>Finding Evidence of One's Recent Actions:</t>
  </si>
  <si>
    <t>First-Rank Symptoms:</t>
  </si>
  <si>
    <t>Voices Arguing:</t>
  </si>
  <si>
    <t>Voices Commenting:</t>
  </si>
  <si>
    <t>Thought Withdrawal:</t>
  </si>
  <si>
    <t>Thought Insertion:</t>
  </si>
  <si>
    <t>Mean for all 8 :</t>
  </si>
  <si>
    <t>Comments:</t>
  </si>
  <si>
    <t>Hearing yourself talk, but you don’t feel that you are choosing the words that are coming out of your mouth.</t>
  </si>
  <si>
    <t>Speech Insertion</t>
  </si>
  <si>
    <t>Major articles on the MID and the model of dissociation on which it is based:</t>
  </si>
  <si>
    <r>
      <t xml:space="preserve">Dell, P. F. (2009). The phenomena of pathological dissociation. In P. F. Dell &amp; J. A. O'Neil (Eds.), </t>
    </r>
    <r>
      <rPr>
        <i/>
        <sz val="12"/>
        <rFont val="Times New Roman"/>
        <family val="1"/>
      </rPr>
      <t>Dissociation and the dissociative disorders: DSM-V and beyond</t>
    </r>
    <r>
      <rPr>
        <sz val="12"/>
        <rFont val="Times New Roman"/>
        <family val="1"/>
      </rPr>
      <t xml:space="preserve"> (pp. 225-238). New York: Routledge.</t>
    </r>
  </si>
  <si>
    <r>
      <t xml:space="preserve">Dell, P. F., &amp; Lawson, D. (2009). Empirically delineating the domain of pathological dissociation. In P. F. Dell &amp; J. A. O'Neil (Eds.), </t>
    </r>
    <r>
      <rPr>
        <i/>
        <sz val="12"/>
        <rFont val="Times New Roman"/>
        <family val="1"/>
      </rPr>
      <t>Dissociation and the dissociative disorders: DSM-V and beyond</t>
    </r>
    <r>
      <rPr>
        <sz val="12"/>
        <rFont val="Times New Roman"/>
        <family val="1"/>
      </rPr>
      <t xml:space="preserve"> (pp. 667-692). New York: Routledge.</t>
    </r>
  </si>
  <si>
    <t>Pathological Dissociation:</t>
  </si>
  <si>
    <t>Clinician's Pre-MID Assessment Summary</t>
  </si>
  <si>
    <t>Somatization:</t>
  </si>
  <si>
    <t>MID Factor Scales</t>
  </si>
  <si>
    <r>
      <t xml:space="preserve">  </t>
    </r>
    <r>
      <rPr>
        <b/>
        <sz val="10"/>
        <rFont val="Arial"/>
        <family val="2"/>
      </rPr>
      <t>Angry Parts</t>
    </r>
  </si>
  <si>
    <t xml:space="preserve">  Helper Parts</t>
  </si>
  <si>
    <r>
      <t xml:space="preserve">  </t>
    </r>
    <r>
      <rPr>
        <b/>
        <sz val="10"/>
        <rFont val="Arial"/>
        <family val="2"/>
      </rPr>
      <t>Child Parts</t>
    </r>
  </si>
  <si>
    <t xml:space="preserve">  I Have DID Scale</t>
  </si>
  <si>
    <r>
      <t xml:space="preserve">  </t>
    </r>
    <r>
      <rPr>
        <b/>
        <sz val="10"/>
        <rFont val="Arial"/>
        <family val="2"/>
      </rPr>
      <t>I Have Parts Scale</t>
    </r>
  </si>
  <si>
    <t>Multidimensional Inventory of Dissociation</t>
  </si>
  <si>
    <t>Client ID:</t>
  </si>
  <si>
    <r>
      <t xml:space="preserve">  </t>
    </r>
    <r>
      <rPr>
        <b/>
        <sz val="10"/>
        <rFont val="Arial"/>
        <family val="2"/>
      </rPr>
      <t>Identity Confusion Scale</t>
    </r>
  </si>
  <si>
    <r>
      <t xml:space="preserve">  </t>
    </r>
    <r>
      <rPr>
        <b/>
        <sz val="10"/>
        <rFont val="Arial"/>
        <family val="2"/>
      </rPr>
      <t>Abandonment Scale</t>
    </r>
  </si>
  <si>
    <r>
      <t xml:space="preserve">  </t>
    </r>
    <r>
      <rPr>
        <b/>
        <sz val="10"/>
        <rFont val="Arial"/>
        <family val="2"/>
      </rPr>
      <t>Cognitive Distraction Scale</t>
    </r>
  </si>
  <si>
    <r>
      <rPr>
        <b/>
        <i/>
        <sz val="9"/>
        <rFont val="Arial"/>
        <family val="2"/>
      </rPr>
      <t xml:space="preserve">Criterion B </t>
    </r>
    <r>
      <rPr>
        <i/>
        <sz val="9"/>
        <rFont val="Arial"/>
        <family val="2"/>
      </rPr>
      <t>continued on next page…</t>
    </r>
  </si>
  <si>
    <r>
      <rPr>
        <b/>
        <i/>
        <sz val="9"/>
        <rFont val="Arial"/>
        <family val="2"/>
      </rPr>
      <t>Criterion A</t>
    </r>
    <r>
      <rPr>
        <i/>
        <sz val="9"/>
        <rFont val="Arial"/>
        <family val="2"/>
      </rPr>
      <t xml:space="preserve"> continued on next page…</t>
    </r>
  </si>
  <si>
    <t>Clinically insignificant (or no) borderline traits reported</t>
  </si>
  <si>
    <t xml:space="preserve"> Mean MID Score:</t>
  </si>
  <si>
    <t>Subjective Awareness of Alters</t>
  </si>
  <si>
    <t>'Made' / Intrusive Actions</t>
  </si>
  <si>
    <t>'Made' / Intrusive Impulses</t>
  </si>
  <si>
    <t>'Made' / Intrusive Emotions</t>
  </si>
  <si>
    <t>Voices / Internal Struggle</t>
  </si>
  <si>
    <t>Self-Confusion / Dissociation</t>
  </si>
  <si>
    <t>Derealization / Depersonalization</t>
  </si>
  <si>
    <t>Psychosis Screen:</t>
  </si>
  <si>
    <t>Clinical Significance</t>
  </si>
  <si>
    <t>Not being able to remember important events in your life (for example, your wedding day, the birth of your child, your grandmother’s funeral, taking your final exams, etc.).</t>
  </si>
  <si>
    <t xml:space="preserve">  'Made'/Intrusive Emotions Scale</t>
  </si>
  <si>
    <t>'Made' Feelings:</t>
  </si>
  <si>
    <t>'Made' Impulses:</t>
  </si>
  <si>
    <t>'Made' Actions:</t>
  </si>
  <si>
    <t>&lt;- Crit A4</t>
  </si>
  <si>
    <t>&lt;- Crit A2</t>
  </si>
  <si>
    <t>&lt;- Crit A3</t>
  </si>
  <si>
    <t>Diagnostic (Passed) Item Score</t>
  </si>
  <si>
    <t>Raw Mean Score</t>
  </si>
  <si>
    <t>% of Items Passed</t>
  </si>
  <si>
    <t>Temporary Loss of  Knowledge:</t>
  </si>
  <si>
    <t>Mean Score</t>
  </si>
  <si>
    <t>* Raw Mean scores are on original MID '0 - 10' scale unless otherwise noted; all '0 - 100' scales are '0 - 10' MID scales multiplied by 10.</t>
  </si>
  <si>
    <t>1.</t>
  </si>
  <si>
    <t>10.</t>
  </si>
  <si>
    <t>33.</t>
  </si>
  <si>
    <t>65.</t>
  </si>
  <si>
    <t>87.</t>
  </si>
  <si>
    <t>88.</t>
  </si>
  <si>
    <t>100.</t>
  </si>
  <si>
    <t>109.</t>
  </si>
  <si>
    <t>110.</t>
  </si>
  <si>
    <t>121.</t>
  </si>
  <si>
    <t>132.</t>
  </si>
  <si>
    <t>142.</t>
  </si>
  <si>
    <t>(0)</t>
  </si>
  <si>
    <t>29.</t>
  </si>
  <si>
    <t>35.</t>
  </si>
  <si>
    <t>45.</t>
  </si>
  <si>
    <t>54.</t>
  </si>
  <si>
    <t>59.</t>
  </si>
  <si>
    <t>62.</t>
  </si>
  <si>
    <t>68.</t>
  </si>
  <si>
    <t>73.</t>
  </si>
  <si>
    <t>96.</t>
  </si>
  <si>
    <t>111.</t>
  </si>
  <si>
    <t>124.</t>
  </si>
  <si>
    <t>213.</t>
  </si>
  <si>
    <t>(5)</t>
  </si>
  <si>
    <t>(6)</t>
  </si>
  <si>
    <t>(3)</t>
  </si>
  <si>
    <t>(7)</t>
  </si>
  <si>
    <t>46.</t>
  </si>
  <si>
    <t>56.</t>
  </si>
  <si>
    <t>131.</t>
  </si>
  <si>
    <t>162.</t>
  </si>
  <si>
    <t>189.</t>
  </si>
  <si>
    <t>(1)</t>
  </si>
  <si>
    <t>(2)</t>
  </si>
  <si>
    <t>12.</t>
  </si>
  <si>
    <t>47.</t>
  </si>
  <si>
    <t>51.</t>
  </si>
  <si>
    <t>93.</t>
  </si>
  <si>
    <t>128.</t>
  </si>
  <si>
    <t>175.</t>
  </si>
  <si>
    <t>178.</t>
  </si>
  <si>
    <t>(4)</t>
  </si>
  <si>
    <t>11.</t>
  </si>
  <si>
    <t>26.</t>
  </si>
  <si>
    <t>40.</t>
  </si>
  <si>
    <t>52.</t>
  </si>
  <si>
    <t>55.</t>
  </si>
  <si>
    <t>98.</t>
  </si>
  <si>
    <t>126.</t>
  </si>
  <si>
    <t>153.</t>
  </si>
  <si>
    <t>163.</t>
  </si>
  <si>
    <t>167.</t>
  </si>
  <si>
    <t>182.</t>
  </si>
  <si>
    <t>206.</t>
  </si>
  <si>
    <t>21.</t>
  </si>
  <si>
    <t>38.</t>
  </si>
  <si>
    <t>63.</t>
  </si>
  <si>
    <t>70.</t>
  </si>
  <si>
    <t>75.</t>
  </si>
  <si>
    <t>130.</t>
  </si>
  <si>
    <t>155.</t>
  </si>
  <si>
    <t>216.</t>
  </si>
  <si>
    <t>28.</t>
  </si>
  <si>
    <t>112.</t>
  </si>
  <si>
    <t>208.</t>
  </si>
  <si>
    <t>212.</t>
  </si>
  <si>
    <t>214.</t>
  </si>
  <si>
    <t>215.</t>
  </si>
  <si>
    <t>List of Named Cells Containing Answers ==&gt;</t>
  </si>
  <si>
    <t>Item Cutoff Value for Clinical Significance ==&gt;</t>
  </si>
  <si>
    <t>Passed (1) / Not Passed (0) ==&gt;</t>
  </si>
  <si>
    <t>Legend*:</t>
  </si>
  <si>
    <t>*unless otherwise indicated by comment flag</t>
  </si>
  <si>
    <t>More than one part of you has been reacting to these questions. </t>
  </si>
  <si>
    <t>138.</t>
  </si>
  <si>
    <t>149.</t>
  </si>
  <si>
    <t>174.</t>
  </si>
  <si>
    <t>202.</t>
  </si>
  <si>
    <t>6.</t>
  </si>
  <si>
    <t>18.</t>
  </si>
  <si>
    <t>83.</t>
  </si>
  <si>
    <t>97.</t>
  </si>
  <si>
    <t>118.</t>
  </si>
  <si>
    <t>188.</t>
  </si>
  <si>
    <t>218.</t>
  </si>
  <si>
    <r>
      <t xml:space="preserve">Reliving a traumatic event so totally that you think that a present-day person is actually a person from the trauma (for example, being home with your partner, suddenly reliving being raped by your alcoholic uncle, </t>
    </r>
    <r>
      <rPr>
        <i/>
        <sz val="10"/>
        <rFont val="Arial"/>
        <family val="2"/>
      </rPr>
      <t xml:space="preserve">and </t>
    </r>
    <r>
      <rPr>
        <b/>
        <i/>
        <sz val="10"/>
        <rFont val="Arial"/>
        <family val="2"/>
      </rPr>
      <t>actually thinking</t>
    </r>
    <r>
      <rPr>
        <i/>
        <sz val="10"/>
        <rFont val="Arial"/>
        <family val="2"/>
      </rPr>
      <t xml:space="preserve"> that your partner is your uncle</t>
    </r>
    <r>
      <rPr>
        <sz val="10"/>
        <rFont val="Arial"/>
        <family val="2"/>
      </rPr>
      <t>---that is, you see your uncle in front of you instead of seeing your partner).</t>
    </r>
  </si>
  <si>
    <t xml:space="preserve">Exaggerating something bad that once happened to you (for example, rape, military combat, physical or emotional abuse, sexual abuse, mistreatment by your spouse, etc.) in order to get attention or sympathy.  </t>
  </si>
  <si>
    <t>24.</t>
  </si>
  <si>
    <t>67.</t>
  </si>
  <si>
    <t>78.</t>
  </si>
  <si>
    <t>79.</t>
  </si>
  <si>
    <t>90.</t>
  </si>
  <si>
    <t>102.</t>
  </si>
  <si>
    <t>122.</t>
  </si>
  <si>
    <t>134.</t>
  </si>
  <si>
    <t>143.</t>
  </si>
  <si>
    <t>154.</t>
  </si>
  <si>
    <t>211.</t>
  </si>
  <si>
    <t>3.</t>
  </si>
  <si>
    <t>25.</t>
  </si>
  <si>
    <t>36.</t>
  </si>
  <si>
    <t>44.</t>
  </si>
  <si>
    <t>91.</t>
  </si>
  <si>
    <t>103.</t>
  </si>
  <si>
    <t>113.</t>
  </si>
  <si>
    <t>123.</t>
  </si>
  <si>
    <t>133.</t>
  </si>
  <si>
    <t>135.</t>
  </si>
  <si>
    <t>164.</t>
  </si>
  <si>
    <t>172.</t>
  </si>
  <si>
    <t>5.</t>
  </si>
  <si>
    <t>13.</t>
  </si>
  <si>
    <t>37.</t>
  </si>
  <si>
    <t>48.</t>
  </si>
  <si>
    <t>58.</t>
  </si>
  <si>
    <t>69.</t>
  </si>
  <si>
    <t>80.</t>
  </si>
  <si>
    <t>92.</t>
  </si>
  <si>
    <t>104.</t>
  </si>
  <si>
    <t>114.</t>
  </si>
  <si>
    <t>144.</t>
  </si>
  <si>
    <t>136.</t>
  </si>
  <si>
    <t>14.</t>
  </si>
  <si>
    <t>66.</t>
  </si>
  <si>
    <t>81.</t>
  </si>
  <si>
    <t>105.</t>
  </si>
  <si>
    <t>115.</t>
  </si>
  <si>
    <t>125.</t>
  </si>
  <si>
    <t>137.</t>
  </si>
  <si>
    <t>145.</t>
  </si>
  <si>
    <t>168.</t>
  </si>
  <si>
    <t>176.</t>
  </si>
  <si>
    <t>192.</t>
  </si>
  <si>
    <t>156.</t>
  </si>
  <si>
    <t>7.</t>
  </si>
  <si>
    <t>15.</t>
  </si>
  <si>
    <t>27.</t>
  </si>
  <si>
    <t>39.</t>
  </si>
  <si>
    <t>60.</t>
  </si>
  <si>
    <t>71.</t>
  </si>
  <si>
    <t>82.</t>
  </si>
  <si>
    <t>94.</t>
  </si>
  <si>
    <t>166.</t>
  </si>
  <si>
    <t>169.</t>
  </si>
  <si>
    <t>181.</t>
  </si>
  <si>
    <t>183.</t>
  </si>
  <si>
    <t>16.</t>
  </si>
  <si>
    <t>77.</t>
  </si>
  <si>
    <t>95.</t>
  </si>
  <si>
    <t>106.</t>
  </si>
  <si>
    <t>116.</t>
  </si>
  <si>
    <t>127.</t>
  </si>
  <si>
    <t>139.</t>
  </si>
  <si>
    <t>147.</t>
  </si>
  <si>
    <t>157.</t>
  </si>
  <si>
    <t>177.</t>
  </si>
  <si>
    <t>184.</t>
  </si>
  <si>
    <t>194.</t>
  </si>
  <si>
    <t>Different Gender:</t>
  </si>
  <si>
    <t>23.</t>
  </si>
  <si>
    <t>31.</t>
  </si>
  <si>
    <t>85.</t>
  </si>
  <si>
    <t>141.</t>
  </si>
  <si>
    <t>64.</t>
  </si>
  <si>
    <t>86.</t>
  </si>
  <si>
    <t>119.</t>
  </si>
  <si>
    <t>19.</t>
  </si>
  <si>
    <t>129.</t>
  </si>
  <si>
    <t>43.</t>
  </si>
  <si>
    <t>76.</t>
  </si>
  <si>
    <t>187.</t>
  </si>
  <si>
    <t>205.</t>
  </si>
  <si>
    <t>186.</t>
  </si>
  <si>
    <t>217.</t>
  </si>
  <si>
    <t>30.</t>
  </si>
  <si>
    <t>42.</t>
  </si>
  <si>
    <t>120.</t>
  </si>
  <si>
    <t>161.</t>
  </si>
  <si>
    <t>190.</t>
  </si>
  <si>
    <t>199.</t>
  </si>
  <si>
    <t>210.</t>
  </si>
  <si>
    <t>Critical Items:</t>
  </si>
  <si>
    <t>84.</t>
  </si>
  <si>
    <t>140.</t>
  </si>
  <si>
    <t>159.</t>
  </si>
  <si>
    <t>171.</t>
  </si>
  <si>
    <t>207.</t>
  </si>
  <si>
    <t>9.</t>
  </si>
  <si>
    <t>99.</t>
  </si>
  <si>
    <t>117.</t>
  </si>
  <si>
    <t>22.</t>
  </si>
  <si>
    <t>146.</t>
  </si>
  <si>
    <t>151.</t>
  </si>
  <si>
    <t>180.</t>
  </si>
  <si>
    <t>32.</t>
  </si>
  <si>
    <t>57.</t>
  </si>
  <si>
    <t>101.</t>
  </si>
  <si>
    <t>185.</t>
  </si>
  <si>
    <t>193.</t>
  </si>
  <si>
    <t>196.</t>
  </si>
  <si>
    <t>34.</t>
  </si>
  <si>
    <t>8.</t>
  </si>
  <si>
    <t>17.</t>
  </si>
  <si>
    <t>72.</t>
  </si>
  <si>
    <t>107.</t>
  </si>
  <si>
    <t>4.</t>
  </si>
  <si>
    <t>150.</t>
  </si>
  <si>
    <t>191.</t>
  </si>
  <si>
    <t>197.</t>
  </si>
  <si>
    <t>200.</t>
  </si>
  <si>
    <t>201.</t>
  </si>
  <si>
    <t>203.</t>
  </si>
  <si>
    <t>49.</t>
  </si>
  <si>
    <t>89.</t>
  </si>
  <si>
    <t>158.</t>
  </si>
  <si>
    <t>165.</t>
  </si>
  <si>
    <t>50.</t>
  </si>
  <si>
    <t>74.</t>
  </si>
  <si>
    <t>179.</t>
  </si>
  <si>
    <t>204.</t>
  </si>
  <si>
    <t>160.</t>
  </si>
  <si>
    <t>173.</t>
  </si>
  <si>
    <t>53.</t>
  </si>
  <si>
    <t>152.</t>
  </si>
  <si>
    <t>108.</t>
  </si>
  <si>
    <t>170.</t>
  </si>
  <si>
    <t xml:space="preserve">People think that you live 'in a world of your own.' </t>
  </si>
  <si>
    <r>
      <t xml:space="preserve">Suddenly ‘waking up’ in the middle of doing something (that you were </t>
    </r>
    <r>
      <rPr>
        <i/>
        <sz val="10"/>
        <rFont val="Arial"/>
        <family val="2"/>
      </rPr>
      <t>completely unaware you were doing</t>
    </r>
    <r>
      <rPr>
        <sz val="10"/>
        <rFont val="Arial"/>
        <family val="2"/>
      </rPr>
      <t>) (for example, vacuuming the carpet, cooking dinner, spanking the children, driving the car, etc.).</t>
    </r>
  </si>
  <si>
    <t>'Passed' for Symptom?</t>
  </si>
  <si>
    <t>Made Feelings</t>
  </si>
  <si>
    <t xml:space="preserve">  Voices Arguing</t>
  </si>
  <si>
    <t xml:space="preserve">  Persecutor Parts</t>
  </si>
  <si>
    <t xml:space="preserve">  Voices Commenting</t>
  </si>
  <si>
    <t xml:space="preserve">  'Made' Feelings</t>
  </si>
  <si>
    <t xml:space="preserve">  'Made' Impulses</t>
  </si>
  <si>
    <t xml:space="preserve">  'Made' Actions</t>
  </si>
  <si>
    <t xml:space="preserve">  Thought Withdrawal</t>
  </si>
  <si>
    <t xml:space="preserve">  Thought Insertion</t>
  </si>
  <si>
    <t>198.</t>
  </si>
  <si>
    <t>209.</t>
  </si>
  <si>
    <t>20.</t>
  </si>
  <si>
    <r>
      <rPr>
        <b/>
        <i/>
        <sz val="9"/>
        <rFont val="Arial"/>
        <family val="2"/>
      </rPr>
      <t>Schneiderian First-Rank Symptoms</t>
    </r>
    <r>
      <rPr>
        <i/>
        <sz val="9"/>
        <rFont val="Arial"/>
        <family val="2"/>
      </rPr>
      <t xml:space="preserve"> continued on next page…</t>
    </r>
  </si>
  <si>
    <t>2.</t>
  </si>
  <si>
    <t>Functionality and Impairment Scales</t>
  </si>
  <si>
    <t>Validity and Characterological Scales</t>
  </si>
  <si>
    <t>'Ten' Count:</t>
  </si>
  <si>
    <t>BPD Index:</t>
  </si>
  <si>
    <t xml:space="preserve">  Manipulativeness Scale</t>
  </si>
  <si>
    <t xml:space="preserve">  Critical Items</t>
  </si>
  <si>
    <r>
      <t xml:space="preserve">   </t>
    </r>
    <r>
      <rPr>
        <sz val="9"/>
        <rFont val="Arial"/>
        <family val="2"/>
      </rPr>
      <t xml:space="preserve"> </t>
    </r>
    <r>
      <rPr>
        <b/>
        <sz val="9"/>
        <rFont val="Arial"/>
        <family val="2"/>
      </rPr>
      <t>Fugues</t>
    </r>
  </si>
  <si>
    <r>
      <t xml:space="preserve">   </t>
    </r>
    <r>
      <rPr>
        <b/>
        <sz val="9"/>
        <rFont val="Arial"/>
        <family val="2"/>
      </rPr>
      <t xml:space="preserve"> Dangerously Toxic PTSD</t>
    </r>
  </si>
  <si>
    <r>
      <t xml:space="preserve">   </t>
    </r>
    <r>
      <rPr>
        <sz val="9"/>
        <rFont val="Arial"/>
        <family val="2"/>
      </rPr>
      <t xml:space="preserve"> </t>
    </r>
    <r>
      <rPr>
        <b/>
        <sz val="9"/>
        <rFont val="Arial"/>
        <family val="2"/>
      </rPr>
      <t>Dangerous Persecutory Voices</t>
    </r>
  </si>
  <si>
    <r>
      <t xml:space="preserve">    </t>
    </r>
    <r>
      <rPr>
        <b/>
        <sz val="9"/>
        <rFont val="Arial"/>
        <family val="2"/>
      </rPr>
      <t>Dissociated Self-Injurous Behavior</t>
    </r>
  </si>
  <si>
    <r>
      <t xml:space="preserve">    </t>
    </r>
    <r>
      <rPr>
        <b/>
        <sz val="9"/>
        <rFont val="Arial"/>
        <family val="2"/>
      </rPr>
      <t>Manipulative Self-Injury</t>
    </r>
  </si>
  <si>
    <t>(9)</t>
  </si>
  <si>
    <t>(8)</t>
  </si>
  <si>
    <t>(10)</t>
  </si>
  <si>
    <t xml:space="preserve">  Psychosis Screen</t>
  </si>
  <si>
    <t>Cut-off Score: 4</t>
  </si>
  <si>
    <t>Cut-off Score: 5</t>
  </si>
  <si>
    <t xml:space="preserve"> Cut-off Score: 5</t>
  </si>
  <si>
    <t>Cut-off Score: 1</t>
  </si>
  <si>
    <t>Cut-off Score: 3</t>
  </si>
  <si>
    <t>Cut-off Score: 2</t>
  </si>
  <si>
    <r>
      <t>Validity and Characterological Scales</t>
    </r>
    <r>
      <rPr>
        <b/>
        <i/>
        <sz val="11"/>
        <rFont val="Arial"/>
        <family val="2"/>
      </rPr>
      <t xml:space="preserve"> </t>
    </r>
    <r>
      <rPr>
        <b/>
        <i/>
        <sz val="9"/>
        <rFont val="Arial"/>
        <family val="2"/>
      </rPr>
      <t>continued</t>
    </r>
  </si>
  <si>
    <t>BPD Index Score:</t>
  </si>
  <si>
    <r>
      <rPr>
        <b/>
        <sz val="11"/>
        <rFont val="Arial"/>
        <family val="2"/>
      </rPr>
      <t>Schneiderian First-Rank Symptoms</t>
    </r>
    <r>
      <rPr>
        <b/>
        <sz val="12"/>
        <rFont val="Arial"/>
        <family val="2"/>
      </rPr>
      <t xml:space="preserve"> </t>
    </r>
    <r>
      <rPr>
        <b/>
        <i/>
        <sz val="9"/>
        <rFont val="Arial"/>
        <family val="2"/>
      </rPr>
      <t>continued</t>
    </r>
  </si>
  <si>
    <t>41.</t>
  </si>
  <si>
    <t>148.</t>
  </si>
  <si>
    <t>Schneiderian First-Rank Symptom Scales</t>
  </si>
  <si>
    <t>GENERAL PT DISSOCIATIVE SYMPTOMS</t>
  </si>
  <si>
    <t>PARTIALLY-DISSOCIATED INTRUSIONS</t>
  </si>
  <si>
    <t>FULLY-DISSOCIATED ACTIONS (AMNESIA)</t>
  </si>
  <si>
    <t>Puzzlement about Oneself</t>
  </si>
  <si>
    <t>Experiences of Self-Alteration</t>
  </si>
  <si>
    <t>Finding Evidence of One's Actions</t>
  </si>
  <si>
    <t>Finding Objects Among Possessions</t>
  </si>
  <si>
    <t>Being Told of Disremembered Actions</t>
  </si>
  <si>
    <t>'Made' / Intrusive Emotions:</t>
  </si>
  <si>
    <t>'Made' / Intrusive Impulses:</t>
  </si>
  <si>
    <t>'Made' / Intrusive Actions:</t>
  </si>
  <si>
    <t>A. General PT Dissociative Symptoms</t>
  </si>
  <si>
    <t>B. Partially-Dissociated Intrusions from Self-States or Alters</t>
  </si>
  <si>
    <t>Borderline (BPD) Traits:</t>
  </si>
  <si>
    <t>(0-100 scale)</t>
  </si>
  <si>
    <t>Scale</t>
  </si>
  <si>
    <t># of Items 'Passed':</t>
  </si>
  <si>
    <t>Raw Mean Score:</t>
  </si>
  <si>
    <t>Raw Clinical Sig. Score:</t>
  </si>
  <si>
    <t>Raw Mean Score*:</t>
  </si>
  <si>
    <r>
      <t xml:space="preserve">Functionality and Impairment Scales </t>
    </r>
    <r>
      <rPr>
        <i/>
        <sz val="8.5"/>
        <rFont val="Arial"/>
        <family val="2"/>
      </rPr>
      <t>(refer to Clinical Summary Graph for comparative norms)</t>
    </r>
  </si>
  <si>
    <r>
      <t xml:space="preserve">Validity and Characterological Scales </t>
    </r>
    <r>
      <rPr>
        <i/>
        <sz val="8.5"/>
        <rFont val="Arial"/>
        <family val="2"/>
      </rPr>
      <t>(refer to Diagnostic and Clinical Summary Graphs for comparative norms)</t>
    </r>
  </si>
  <si>
    <r>
      <rPr>
        <b/>
        <sz val="11"/>
        <rFont val="Arial"/>
        <family val="2"/>
      </rPr>
      <t>Self-Alteration, Self-States, and Alters</t>
    </r>
    <r>
      <rPr>
        <b/>
        <i/>
        <sz val="8.5"/>
        <rFont val="Arial"/>
        <family val="2"/>
      </rPr>
      <t xml:space="preserve"> </t>
    </r>
    <r>
      <rPr>
        <i/>
        <sz val="8.5"/>
        <rFont val="Arial"/>
        <family val="2"/>
      </rPr>
      <t>(refer to Clinical Summary Graph for comparative norms)</t>
    </r>
  </si>
  <si>
    <t>MID Initial Impressions and Observations</t>
  </si>
  <si>
    <t>Influences on the Body:</t>
  </si>
  <si>
    <t xml:space="preserve">  Influences on the Body</t>
  </si>
  <si>
    <t>Attention-Seeking Behavior:</t>
  </si>
  <si>
    <t>MID Diagnostic Impressions</t>
  </si>
  <si>
    <t>BPD</t>
  </si>
  <si>
    <t>OVERALL MID SCORING</t>
  </si>
  <si>
    <t>MID Clinical Summary Graph Setup</t>
  </si>
  <si>
    <t>Discontinuities of Time (Time Gaps)</t>
  </si>
  <si>
    <t>No somatization reported</t>
  </si>
  <si>
    <t>Diagnostic Item Score:</t>
  </si>
  <si>
    <t>Rare Symptoms/Psychosis Screen Observations</t>
  </si>
  <si>
    <t xml:space="preserve">  </t>
  </si>
  <si>
    <t>Paul F. Dell, PhD</t>
  </si>
  <si>
    <t>Emotional Suffering, Attention-Seeking, Factitious Behavior, and Manipulativeness Observations</t>
  </si>
  <si>
    <t>Explicit Post-Traumatic Stress</t>
  </si>
  <si>
    <t>Somatization</t>
  </si>
  <si>
    <t>Disremembered / Discovered Behavior</t>
  </si>
  <si>
    <t>Severe Dissociation Score (Items 'Passed')</t>
  </si>
  <si>
    <t xml:space="preserve">  Current Diagnosis</t>
  </si>
  <si>
    <t xml:space="preserve">  Comments/Observations</t>
  </si>
  <si>
    <t xml:space="preserve">A Mean MID Score of 41-64: Some cases of PTSD, many cases of DID, and some test-takers with problematic borderline features fall within this range. </t>
  </si>
  <si>
    <t>I Have DID / I Have Parts Observations</t>
  </si>
  <si>
    <t>Validity and Characterological Scales Observations</t>
  </si>
  <si>
    <t>No elevation is evident in the I Have DID Scale relative to the I Have Parts Scale.</t>
  </si>
  <si>
    <t>No evidence of Rare Symptoms or psychosis, per test-taker's self-report.</t>
  </si>
  <si>
    <r>
      <t xml:space="preserve">  BPD Index</t>
    </r>
    <r>
      <rPr>
        <i/>
        <sz val="8.5"/>
        <rFont val="Arial"/>
        <family val="2"/>
      </rPr>
      <t xml:space="preserve"> (refer to MID Diagnostic and BPD-DID Scales Graphs for comparative norms)</t>
    </r>
  </si>
  <si>
    <t xml:space="preserve">Credits and Notes                           </t>
  </si>
  <si>
    <t>How to reference the MID if you are writing an article:</t>
  </si>
  <si>
    <t>Administering the MID:</t>
  </si>
  <si>
    <t>Programmer Notes:</t>
  </si>
  <si>
    <t>Defensiveness / Minimization:</t>
  </si>
  <si>
    <t>Defensiveness / Minimization</t>
  </si>
  <si>
    <t>Defensiveness / Minimzation Items 'Passed'</t>
  </si>
  <si>
    <t>Defensiveness / Minimization % of Items 'Passed'</t>
  </si>
  <si>
    <t>Defensiveness / Minimization &amp; Mean MID Score</t>
  </si>
  <si>
    <t>BPD-DID Mean Scales Comparison Graph Setup</t>
  </si>
  <si>
    <t>BPD-DID Clinical Significance Score Graph Setup</t>
  </si>
  <si>
    <t>MID Diagnostic Graph Setup</t>
  </si>
  <si>
    <r>
      <rPr>
        <b/>
        <i/>
        <sz val="12"/>
        <rFont val="Times New Roman"/>
        <family val="1"/>
      </rPr>
      <t>If you are a researcher and would like to have access to the Formula Bar on the Calculations Tab, please send a message to</t>
    </r>
    <r>
      <rPr>
        <b/>
        <sz val="12"/>
        <rFont val="Times New Roman"/>
        <family val="1"/>
      </rPr>
      <t xml:space="preserve"> </t>
    </r>
    <r>
      <rPr>
        <b/>
        <i/>
        <sz val="12"/>
        <color rgb="FF0432FF"/>
        <rFont val="Times New Roman"/>
        <family val="1"/>
      </rPr>
      <t>admin@mid-assessment.com</t>
    </r>
    <r>
      <rPr>
        <b/>
        <sz val="12"/>
        <rFont val="Times New Roman"/>
        <family val="1"/>
      </rPr>
      <t xml:space="preserve"> </t>
    </r>
    <r>
      <rPr>
        <b/>
        <i/>
        <sz val="12"/>
        <rFont val="Times New Roman"/>
        <family val="1"/>
      </rPr>
      <t>with</t>
    </r>
    <r>
      <rPr>
        <b/>
        <sz val="12"/>
        <rFont val="Times New Roman"/>
        <family val="1"/>
      </rPr>
      <t xml:space="preserve"> 'RESEARCHER REQUEST'</t>
    </r>
    <r>
      <rPr>
        <b/>
        <i/>
        <sz val="12"/>
        <rFont val="Times New Roman"/>
        <family val="1"/>
      </rPr>
      <t xml:space="preserve"> in the Subject Line.</t>
    </r>
  </si>
  <si>
    <t xml:space="preserve">The Line/Bar Graphs call to data on the Calculations page. If you need to make changes to the charted data, do it in the green boxes on the Calculations page. The only things you should change on the charts pages are the layout, fonts, colors, etc. </t>
  </si>
  <si>
    <r>
      <t xml:space="preserve">Dell, P. F. (2006). A new model of dissociative identity disorder. </t>
    </r>
    <r>
      <rPr>
        <i/>
        <sz val="12"/>
        <rFont val="Times New Roman"/>
        <family val="1"/>
      </rPr>
      <t>Psychiatric Clinics of North America</t>
    </r>
    <r>
      <rPr>
        <sz val="12"/>
        <rFont val="Times New Roman"/>
        <family val="1"/>
      </rPr>
      <t>, 29(1): 1-26.</t>
    </r>
  </si>
  <si>
    <t xml:space="preserve">  Voices/Internal Struggle Scale</t>
  </si>
  <si>
    <t>Overall 'Passed' Symptoms:</t>
  </si>
  <si>
    <t xml:space="preserve"> Overall 'Passed' Symptoms:</t>
  </si>
  <si>
    <t xml:space="preserve">  Interpersonal Intrusiveness Scale</t>
  </si>
  <si>
    <r>
      <t xml:space="preserve">Additional Scales </t>
    </r>
    <r>
      <rPr>
        <i/>
        <sz val="8.5"/>
        <rFont val="Arial"/>
        <family val="2"/>
      </rPr>
      <t>(refer to Clinical Summary, Factor Scales, and BPD-DID Comparison Graphs for comparative norms)</t>
    </r>
  </si>
  <si>
    <t>Item/ Question Number</t>
  </si>
  <si>
    <r>
      <t>Instructions:</t>
    </r>
    <r>
      <rPr>
        <sz val="10"/>
        <rFont val="Arial"/>
        <family val="2"/>
      </rPr>
      <t xml:space="preserve">  How </t>
    </r>
    <r>
      <rPr>
        <u/>
        <sz val="10"/>
        <rFont val="Arial"/>
        <family val="2"/>
      </rPr>
      <t>often</t>
    </r>
    <r>
      <rPr>
        <sz val="10"/>
        <rFont val="Arial"/>
        <family val="2"/>
      </rPr>
      <t xml:space="preserve"> do you have the following experiences when you are not under the influence of alcohol or drugs?  Please choose the number that best describes you. Choose a “0” if the experience never happens to you; choose a “10” if it is always happening to you. If it happens sometimes, but not all the time, choose a number between 1 and 9 that best describes how </t>
    </r>
    <r>
      <rPr>
        <u/>
        <sz val="10"/>
        <rFont val="Arial"/>
        <family val="2"/>
      </rPr>
      <t>often</t>
    </r>
    <r>
      <rPr>
        <sz val="10"/>
        <rFont val="Arial"/>
        <family val="2"/>
      </rPr>
      <t xml:space="preserve"> it happens to you.
 </t>
    </r>
    <r>
      <rPr>
        <b/>
        <sz val="10"/>
        <rFont val="Arial"/>
        <family val="2"/>
      </rPr>
      <t xml:space="preserve">                 Never                                                                                                                                  Always 
                      0            1            2            3            4            5            6            7            8            9            10</t>
    </r>
  </si>
  <si>
    <t>Discovering that you have changed your appearance (for example, cut your hair, or changed  your hairstyle, or changed what you are wearing, or put on cosmetics, etc.) with no memory of having done so.</t>
  </si>
  <si>
    <t xml:space="preserve">  Defensiveness / Minimization Scale</t>
  </si>
  <si>
    <t>VALIDITY &amp; CHARACTEROLOGICAL SCALES</t>
  </si>
  <si>
    <t>Different Gender Parts</t>
  </si>
  <si>
    <t>N/A</t>
  </si>
  <si>
    <t>Criterion A: General Posttraumatic Dissociative Symptoms</t>
  </si>
  <si>
    <t>Criterion B: Partially-dissociated Intrusions</t>
  </si>
  <si>
    <t>Criterion C: Fully-dissociated Actions (Amnesia)</t>
  </si>
  <si>
    <t>Self-State Activity Scales</t>
  </si>
  <si>
    <t>Defensiveness / Minimization does not appear to be elevated in relation to the Mean MID Score. Examine Criterion A, B, and C symptoms and the MID Diagnostic and Clinical Summary Graphs for further context.</t>
  </si>
  <si>
    <t>&lt;- Criterion A</t>
  </si>
  <si>
    <t>&lt;- Criterion B</t>
  </si>
  <si>
    <t>&lt;- Criterion B9</t>
  </si>
  <si>
    <t>&lt;- Criterion C</t>
  </si>
  <si>
    <t>'Passed' Items</t>
  </si>
  <si>
    <t xml:space="preserve">Severe Dissociation </t>
  </si>
  <si>
    <t>Mini-MID Score (Mean)</t>
  </si>
  <si>
    <t>DISSOCIATION SCALES (% of Items 'Passed' Unless Noted)</t>
  </si>
  <si>
    <t>PARTS AND ALTERS SCALES (Mean Scores)</t>
  </si>
  <si>
    <t>Defensiveness / Minimization (Mean)</t>
  </si>
  <si>
    <t>VALIDITY SCALES (% of Items 'Passed' Unless Noted)</t>
  </si>
  <si>
    <t>Criterion A/B/C Symptoms:</t>
  </si>
  <si>
    <r>
      <rPr>
        <b/>
        <i/>
        <sz val="9"/>
        <rFont val="Arial"/>
        <family val="2"/>
      </rPr>
      <t>Mean Score</t>
    </r>
    <r>
      <rPr>
        <i/>
        <sz val="9"/>
        <rFont val="Arial"/>
        <family val="2"/>
      </rPr>
      <t xml:space="preserve"> </t>
    </r>
    <r>
      <rPr>
        <i/>
        <sz val="8"/>
        <rFont val="Arial"/>
        <family val="2"/>
      </rPr>
      <t>(0-100 scale)</t>
    </r>
  </si>
  <si>
    <r>
      <rPr>
        <b/>
        <i/>
        <sz val="9"/>
        <rFont val="Arial"/>
        <family val="2"/>
      </rPr>
      <t>Mean Score</t>
    </r>
    <r>
      <rPr>
        <i/>
        <sz val="9.5"/>
        <rFont val="Arial"/>
        <family val="2"/>
      </rPr>
      <t xml:space="preserve"> </t>
    </r>
    <r>
      <rPr>
        <i/>
        <sz val="8"/>
        <rFont val="Arial"/>
        <family val="2"/>
      </rPr>
      <t>(0-100 scale)</t>
    </r>
  </si>
  <si>
    <t># of Items 'Passed'</t>
  </si>
  <si>
    <r>
      <rPr>
        <b/>
        <i/>
        <sz val="9"/>
        <rFont val="Arial"/>
        <family val="2"/>
      </rPr>
      <t xml:space="preserve">Mean Score </t>
    </r>
    <r>
      <rPr>
        <i/>
        <sz val="8"/>
        <rFont val="Arial"/>
        <family val="2"/>
      </rPr>
      <t>(0-100 scale)</t>
    </r>
  </si>
  <si>
    <r>
      <rPr>
        <b/>
        <i/>
        <sz val="9.5"/>
        <rFont val="Arial"/>
        <family val="2"/>
      </rPr>
      <t>Mean Score</t>
    </r>
    <r>
      <rPr>
        <i/>
        <sz val="8.5"/>
        <rFont val="Arial"/>
        <family val="2"/>
      </rPr>
      <t xml:space="preserve"> </t>
    </r>
    <r>
      <rPr>
        <i/>
        <sz val="8"/>
        <rFont val="Arial"/>
        <family val="2"/>
      </rPr>
      <t>(0-100 scale)</t>
    </r>
  </si>
  <si>
    <r>
      <rPr>
        <b/>
        <sz val="9.5"/>
        <rFont val="Arial"/>
        <family val="2"/>
      </rPr>
      <t xml:space="preserve"># of </t>
    </r>
    <r>
      <rPr>
        <b/>
        <i/>
        <sz val="9.5"/>
        <rFont val="Arial"/>
        <family val="2"/>
      </rPr>
      <t>Items 'Passed'</t>
    </r>
  </si>
  <si>
    <t>(highlighted at score of 100+)</t>
  </si>
  <si>
    <r>
      <t xml:space="preserve">*Symptom features </t>
    </r>
    <r>
      <rPr>
        <b/>
        <i/>
        <u/>
        <sz val="10"/>
        <color rgb="FFC00000"/>
        <rFont val="Arial"/>
        <family val="2"/>
      </rPr>
      <t>must</t>
    </r>
    <r>
      <rPr>
        <b/>
        <i/>
        <sz val="10"/>
        <color rgb="FFC00000"/>
        <rFont val="Arial"/>
        <family val="2"/>
      </rPr>
      <t xml:space="preserve"> be substantiated via follow-up interview prior to applying any diagnosis indicated by these impressions. </t>
    </r>
  </si>
  <si>
    <t>A Mean MID Score of 21-30: Many cases of PTSD and some cases of OSDD-1 and DID fall within this range.</t>
  </si>
  <si>
    <t xml:space="preserve">A Mean MID Score of 31-40: Many cases of PTSD, OSDD-1 and DID fall within this range. </t>
  </si>
  <si>
    <t>CHARACTEROLOGICAL SCALES (Mean Scores Unless Noted)</t>
  </si>
  <si>
    <t>Attention-Seeking Behavior (% of Items 'Passed')</t>
  </si>
  <si>
    <t>Factitious Behavior (% of Items 'Passed')</t>
  </si>
  <si>
    <t>FUNCTIONALITY/IMPAIRMENT SCALES (Mean Scores)</t>
  </si>
  <si>
    <t>Diagnostically sub-elevated, but possibly clinically relevant, somatization reported: Review 'passed' Somatoform Symptoms Scale items</t>
  </si>
  <si>
    <t>Many problematic borderline traits reported: Likely meets DSM criteria for BPD; consult BPD-DID Comparison Graphs for further context</t>
  </si>
  <si>
    <t>Several problematic borderline traits reported: May meet DSM criteria for BPD; consult BPD-DID Comparison Graphs for further context</t>
  </si>
  <si>
    <t>Severe borderline and other pathological personality traits reported: Consult BPD-DID Comparison Graphs for further context</t>
  </si>
  <si>
    <t>Extreme borderline and other pathological personality traits reported: Consult BPD-DID Comparison Graphs for further context</t>
  </si>
  <si>
    <t>A few problematic borderline traits reported: Consult BPD-DID Comparison Graphs for further context</t>
  </si>
  <si>
    <r>
      <t xml:space="preserve">A Mean MID Score of 65 or higher: Some cases of PTSD and DID, and many cases of especially severe BPD fall within this range. </t>
    </r>
    <r>
      <rPr>
        <i/>
        <sz val="10"/>
        <color theme="1"/>
        <rFont val="Arial"/>
        <family val="2"/>
      </rPr>
      <t>Mean MID Scores</t>
    </r>
    <r>
      <rPr>
        <sz val="10"/>
        <color theme="1"/>
        <rFont val="Arial"/>
        <family val="2"/>
      </rPr>
      <t xml:space="preserve"> in this range require a close examination of the Validity and Characterological Scales and a thorough follow-up interview.</t>
    </r>
  </si>
  <si>
    <t>Unspecified Dissociative Disorder (UDD)</t>
  </si>
  <si>
    <t>Explicit Posttraumatic Stress:</t>
  </si>
  <si>
    <t>The test-taker's reporting on the Defensiveness / Minimization Scale does not agree with typical results on other validity-related scales. Consider bias-related inconsistencies among the Validity and Characterological Scales, Severe Dissociation Scales, Functionality and Impairment Scales, and Criterion B and C Scales when compared to the test-taker's known/reported history and presentation.</t>
  </si>
  <si>
    <t>Amnesia Items:</t>
  </si>
  <si>
    <r>
      <t xml:space="preserve">Please send information regarding confusing diagnostic impressions and typographical and suspected calculation errors/omissions to </t>
    </r>
    <r>
      <rPr>
        <b/>
        <i/>
        <sz val="12"/>
        <color rgb="FF0432FF"/>
        <rFont val="Times New Roman"/>
        <family val="1"/>
      </rPr>
      <t xml:space="preserve">admin@mid-assessment.com </t>
    </r>
    <r>
      <rPr>
        <b/>
        <i/>
        <sz val="12"/>
        <color theme="1"/>
        <rFont val="Times New Roman"/>
        <family val="1"/>
      </rPr>
      <t xml:space="preserve">with </t>
    </r>
    <r>
      <rPr>
        <b/>
        <sz val="12"/>
        <color theme="1"/>
        <rFont val="Times New Roman"/>
        <family val="1"/>
      </rPr>
      <t xml:space="preserve">'MID CORRECTION/UPDATE' </t>
    </r>
    <r>
      <rPr>
        <b/>
        <i/>
        <sz val="12"/>
        <color theme="1"/>
        <rFont val="Times New Roman"/>
        <family val="1"/>
      </rPr>
      <t>in the Subject Line.</t>
    </r>
  </si>
  <si>
    <r>
      <t xml:space="preserve">Welcome to </t>
    </r>
    <r>
      <rPr>
        <i/>
        <sz val="12"/>
        <rFont val="Times New Roman"/>
        <family val="1"/>
      </rPr>
      <t xml:space="preserve">MID Analysis, </t>
    </r>
    <r>
      <rPr>
        <sz val="12"/>
        <rFont val="Times New Roman"/>
        <family val="1"/>
      </rPr>
      <t>an Excel-based scoring and interpretive program for the Multidimensional Inventory of Dissociation (MID). The MID was developed by Paul F. Dell for the assessment of pathological dissociation and the diagnosis of the dissociative disorders. The MID Analysis was originally written and designed by Jürgen Schmidt in cooperation with Paul Dell, and updated by Schmidt from v3.1 (2004) through v3.8 (2012). Since v4.0 (2017), the MID Analysis has been maintained and updated by D. Michael Coy, MA, LICSW.</t>
    </r>
  </si>
  <si>
    <t>OSDD, Type 1a</t>
  </si>
  <si>
    <r>
      <rPr>
        <b/>
        <sz val="12"/>
        <color theme="6" tint="-0.499984740745262"/>
        <rFont val="Times New Roman"/>
        <family val="1"/>
      </rPr>
      <t xml:space="preserve">Dell, P. F. (2006). The Multidimensional Inventory of Dissociation (MID): A comprehensive measure of pathological dissociation. </t>
    </r>
    <r>
      <rPr>
        <b/>
        <i/>
        <sz val="12"/>
        <color theme="6" tint="-0.499984740745262"/>
        <rFont val="Times New Roman"/>
        <family val="1"/>
      </rPr>
      <t>Journal of Trauma &amp; Dissociation, 7</t>
    </r>
    <r>
      <rPr>
        <b/>
        <sz val="12"/>
        <color theme="6" tint="-0.499984740745262"/>
        <rFont val="Times New Roman"/>
        <family val="1"/>
      </rPr>
      <t>(2): 77-106.</t>
    </r>
  </si>
  <si>
    <r>
      <t xml:space="preserve">You must have a copy of the MID 6.0, which is the actual 218-item inventory that the test-taker completes. You should also obtain a copy of </t>
    </r>
    <r>
      <rPr>
        <i/>
        <sz val="12"/>
        <rFont val="Times New Roman"/>
        <family val="1"/>
      </rPr>
      <t>An Interpretive Manual for the Multidimensional Inventory of Dissociation, 4th Edition</t>
    </r>
    <r>
      <rPr>
        <sz val="12"/>
        <rFont val="Times New Roman"/>
        <family val="1"/>
      </rPr>
      <t xml:space="preserve">, which is the interpretive companion to </t>
    </r>
    <r>
      <rPr>
        <b/>
        <sz val="12"/>
        <rFont val="Times New Roman"/>
        <family val="1"/>
      </rPr>
      <t>The MID Report</t>
    </r>
    <r>
      <rPr>
        <sz val="12"/>
        <rFont val="Times New Roman"/>
        <family val="1"/>
      </rPr>
      <t xml:space="preserve"> generated by MID Analysis. The manual contains a detailed description of the MID's various scales, indices, and graphs. The MID (in a variety of languages), the Interpretive Manual, and other documents relevant to the MID may be accessed, free of charge, at </t>
    </r>
    <r>
      <rPr>
        <b/>
        <sz val="12"/>
        <color rgb="FF0432FF"/>
        <rFont val="Times New Roman"/>
        <family val="1"/>
      </rPr>
      <t>https://www.mid-assessment.com</t>
    </r>
    <r>
      <rPr>
        <sz val="12"/>
        <color theme="1"/>
        <rFont val="Times New Roman"/>
        <family val="1"/>
      </rPr>
      <t>.</t>
    </r>
  </si>
  <si>
    <t>Other Specified Dissociative Disorder, Type 1a (OSDD-1a/ICD-11 Partial DID; less-than-marked discontinuities in sense of self and agency)</t>
  </si>
  <si>
    <t>Clinically significant somatization reported: Consult DSM/ICD to rule out Functional/Dissociative Neurological Symptom Disorder</t>
  </si>
  <si>
    <t>Functional/Dissociative Neurological Symptom Disorder: Consult DSM/ICD for full diagnostic criteria</t>
  </si>
  <si>
    <t>Posttraumatic Stress Disorder (PTSD): Consult DSM/ICD for full diagnostic criteria</t>
  </si>
  <si>
    <t>Posttraumatic Stress Disorder (PTSD), Dissociative Sub-type: Consult DSM for full diagnostic criteria</t>
  </si>
  <si>
    <t>Criterion not met for Posttraumatic Stress Disorder: Review DSM/ICD criteria for PTSD and clinically significant MID Criterion A and B symptoms</t>
  </si>
  <si>
    <t>The I Have DID Scale is elevated relative to the I Have Parts Scale. Rule out over-reporting by examining possible bias-related inconsistencies among the Validity and Characterological Scales, Functionality and Impairment Scales, and Criterion B and C Scales results when compared to the test-taker's known/reported history and presentation.</t>
  </si>
  <si>
    <r>
      <t xml:space="preserve">Finding something that has been done (for example, the lawn mowed, the kitchen painted, a task at work completed, etc.), that you don’t remember doing---but knowing that you </t>
    </r>
    <r>
      <rPr>
        <i/>
        <sz val="10"/>
        <rFont val="Arial"/>
        <family val="2"/>
      </rPr>
      <t>must</t>
    </r>
    <r>
      <rPr>
        <sz val="10"/>
        <rFont val="Arial"/>
        <family val="2"/>
      </rPr>
      <t xml:space="preserve"> be the one who did it.</t>
    </r>
  </si>
  <si>
    <t>One or more Characterological Scales appear to be elevated, suggesting clinically relevant personality traits as well as significant attachment wounding and/or potential over-reporting of some symptom features. Evaluate 'passed' items in these scales and consult the BPD-DID Comparison Scales Graphs. Also consider the potential influence of covert self-state activity, particularly if the endorsed traits are not obvious, and clarify their past and present relevance to the overall clinical picture.</t>
  </si>
  <si>
    <t xml:space="preserve">  Indications Based on Mean MID Score</t>
  </si>
  <si>
    <t xml:space="preserve">  Observations Based on Validity, Characterological, and Related Scales</t>
  </si>
  <si>
    <r>
      <t xml:space="preserve">  Diagnostic Impressions*  </t>
    </r>
    <r>
      <rPr>
        <i/>
        <sz val="9"/>
        <rFont val="Arial"/>
        <family val="2"/>
      </rPr>
      <t>(ICD categories and terminology employed as applicable)</t>
    </r>
  </si>
  <si>
    <t xml:space="preserve">A Mean MID Score of 15-20: PTSD may be present if Flashbacks, Depersonalization, and Derealization scales are elevated. </t>
  </si>
  <si>
    <t>A Mean MID Score of 8-14: This level of dissociation is common in test-takers who do not have a dissociative disorder, but may be mediated by under-reporting. Refer to Criterion B and C for any isolated, clinically significant results. If such indicators exist, further investigation is recommended.</t>
  </si>
  <si>
    <r>
      <t xml:space="preserve">A Mean MID Score of 0-7: Nondissociative, unless </t>
    </r>
    <r>
      <rPr>
        <i/>
        <sz val="10"/>
        <rFont val="Arial"/>
        <family val="2"/>
      </rPr>
      <t>Defensiveness / Minimization</t>
    </r>
    <r>
      <rPr>
        <sz val="10"/>
        <rFont val="Arial"/>
        <family val="2"/>
      </rPr>
      <t xml:space="preserve"> is elevated. Determine whether the </t>
    </r>
    <r>
      <rPr>
        <i/>
        <sz val="10"/>
        <rFont val="Arial"/>
        <family val="2"/>
      </rPr>
      <t>Defensiveness / Minimization Scale</t>
    </r>
    <r>
      <rPr>
        <sz val="10"/>
        <rFont val="Arial"/>
        <family val="2"/>
      </rPr>
      <t xml:space="preserve"> is elevated or other scales appear depressed relative to norms (see MID Dissociation and Diagnostic Graphs) and test-taker's known/reported history and presentation.</t>
    </r>
  </si>
  <si>
    <t>Evaluate sub-clinical elevation and 'passed' items in Rare Symptoms and/or the Psychosis Screen to differentiate trauma-related or cultural factors from over-reporting or psychosis.</t>
  </si>
  <si>
    <t>Other Specified Dissociative Disorder, Type 1b (OSDD-1b; alterations of identity/episodes of possession with no report of dissociative amnesia)</t>
  </si>
  <si>
    <t>Defensiveness / Minimization appears to be elevated, which usually indicates under-reporting on other MID scales. This does not invalidate the MID results, but may provide insight into the test-taker's attachment history, self-awareness, and any tendency to minimize their symptoms. Carefully examine both elevated Mean Scores and clinically significant items and symptoms in Criterion A, B, and C in terms of the Validity and Characterological Scales scoring and the test-taker's known/reported history and presentation. Consult the MID Dissociation and Diagnostic Scales Graphs for further context.</t>
  </si>
  <si>
    <t>Defensiveness / Minimization may be elevated, suggesting possible (isolated) under-reporting on other MID scales. This does not invalidate the MID results, but may provide insight into the test-taker's attachment history, self-awareness, and any tendency to minimize their symptoms. Carefully examine both elevated Mean Scores and clinically significant items and symptoms in Criterion A, B, and C in terms of the Validity and Characterological Scales scoring and the test-taker's known/reported history and presentation. Consult the MID Dissociation and Diagnostic Scales Graphs for further context.</t>
  </si>
  <si>
    <t>Dissociative Identity Disorder (DID): Ensure that symptoms are not due to substance use or part of a broadly accepted cultural/religious practice</t>
  </si>
  <si>
    <t>Version 6.0 (Mac): December 30, 2022</t>
  </si>
  <si>
    <t>No elevation is evident in the I Have DID Scale relative to the I Have Parts Scale. A possible lack of conscious awareness of Criterion B symptoms is suggested, when comparing those scales with test-taker's I Have Parts Scale score. Consult Criterion B and C, as well as the Self-State Activity and Schneiderian First-Rank Symptoms Scales, for further context.</t>
  </si>
  <si>
    <t>Dissociative diagnosis deferred (insufficient criteria met or inconclusive results): Examine any symptoms below, but near, clinical significance</t>
  </si>
  <si>
    <t>Nondissociative, but with indicators of dissociated self-state activity: Refer to clinically significant Criterion B symptoms for further context</t>
  </si>
  <si>
    <t>Elevation is evident on non-psychosis-related Rare Symptoms Scale items. Evaluate 'passed' items to differentiate trauma-related or cultural factors from over-reporting.</t>
  </si>
  <si>
    <t>Although no elevation is evident in the I Have DID Scale relative to the I Have Parts Scale, a lack of awareness of the extent of the dissociation (particularly amnesia symptoms) is suggested by a comparison of the Criterion B/C and I Have Parts/I Have DID Scales. Consult Criterion B and C symptoms as well as the Self-State Activity and Schneiderian First-Rank Symptom Scales for further context.</t>
  </si>
  <si>
    <t>Nondissociative, with no overt indication of under-reporting: Review any 'passed' items to aid case conceptualization and treatment</t>
  </si>
  <si>
    <t>Nondissociative, but with overt indication of under-reporting: Refer to Validity and Characterological Scales scoring for further context</t>
  </si>
  <si>
    <t>Elevation is evident for both Rare Symptoms and the Psychosis Screen. Evaluate 'passed' items to differentiate trauma-related or cultural factors from over-reporting or psychosis.</t>
  </si>
  <si>
    <r>
      <t>Criterion A: General Posttraumatic Dissociative Symptoms</t>
    </r>
    <r>
      <rPr>
        <b/>
        <i/>
        <sz val="9"/>
        <rFont val="Arial"/>
        <family val="2"/>
      </rPr>
      <t xml:space="preserve"> </t>
    </r>
    <r>
      <rPr>
        <b/>
        <i/>
        <sz val="8.5"/>
        <rFont val="Arial"/>
        <family val="2"/>
      </rPr>
      <t xml:space="preserve"> </t>
    </r>
    <r>
      <rPr>
        <i/>
        <sz val="8.5"/>
        <rFont val="Arial"/>
        <family val="2"/>
      </rPr>
      <t>(refer to Dissociation Scales and Diagnostic Graphs for comparative norms)</t>
    </r>
  </si>
  <si>
    <r>
      <rPr>
        <b/>
        <sz val="11"/>
        <rFont val="Arial"/>
        <family val="2"/>
      </rPr>
      <t>Criterion A: General Posttraumatic Dissociative Symptoms</t>
    </r>
    <r>
      <rPr>
        <b/>
        <sz val="12"/>
        <rFont val="Arial"/>
        <family val="2"/>
      </rPr>
      <t xml:space="preserve"> </t>
    </r>
    <r>
      <rPr>
        <b/>
        <i/>
        <sz val="9"/>
        <rFont val="Arial"/>
        <family val="2"/>
      </rPr>
      <t>continued</t>
    </r>
  </si>
  <si>
    <r>
      <t>Criterion B: Partially-dissociated Intrusions of Another Self-State</t>
    </r>
    <r>
      <rPr>
        <b/>
        <sz val="9"/>
        <rFont val="Arial"/>
        <family val="2"/>
      </rPr>
      <t xml:space="preserve"> </t>
    </r>
    <r>
      <rPr>
        <b/>
        <sz val="8.5"/>
        <rFont val="Arial"/>
        <family val="2"/>
      </rPr>
      <t xml:space="preserve"> </t>
    </r>
    <r>
      <rPr>
        <i/>
        <sz val="8.5"/>
        <rFont val="Arial"/>
        <family val="2"/>
      </rPr>
      <t>(refer to Dissociation Scales and Diagnostic Graphs for comparative norms)</t>
    </r>
  </si>
  <si>
    <r>
      <rPr>
        <b/>
        <sz val="11"/>
        <rFont val="Arial"/>
        <family val="2"/>
      </rPr>
      <t>Criterion B: Partially-dissociated Intrusions of Another Self-State</t>
    </r>
    <r>
      <rPr>
        <b/>
        <sz val="12"/>
        <rFont val="Arial"/>
        <family val="2"/>
      </rPr>
      <t xml:space="preserve"> </t>
    </r>
    <r>
      <rPr>
        <b/>
        <i/>
        <sz val="9"/>
        <rFont val="Arial"/>
        <family val="2"/>
      </rPr>
      <t>continued</t>
    </r>
  </si>
  <si>
    <r>
      <rPr>
        <b/>
        <sz val="11"/>
        <rFont val="Arial"/>
        <family val="2"/>
      </rPr>
      <t>Criterion C: Fully-dissociated Actions of Self-States (Amnesia)</t>
    </r>
    <r>
      <rPr>
        <sz val="8.5"/>
        <rFont val="Arial"/>
        <family val="2"/>
      </rPr>
      <t xml:space="preserve"> </t>
    </r>
    <r>
      <rPr>
        <i/>
        <sz val="8.5"/>
        <rFont val="Arial"/>
        <family val="2"/>
      </rPr>
      <t>(refer to Dissociation Scales and Diagnostic Graphs for comparative norms)</t>
    </r>
  </si>
  <si>
    <t>Characterological Scales scores indicate no unusual elevation. Nevertheless, these results may offer context for the overall clinical picture and inform treatment planning. Refer to Self-State Activity, Schneiderian First-Rank Symptom, and Criterion B Scales for further insight into test-taker's overall functioning.</t>
  </si>
  <si>
    <t>Characterological Scales, particularly Emotional Suffering, suggest possible under-reporting of symptom features. Contextualize this in terms of test-taker's known/reported trauma history and presentation, as well as the Self-State Activity, Schneiderian First-Rank Symptom, and Criterion B Scales.</t>
  </si>
  <si>
    <r>
      <t xml:space="preserve">Additional article/chapter references may be found here: </t>
    </r>
    <r>
      <rPr>
        <b/>
        <i/>
        <sz val="12"/>
        <color rgb="FF0432FF"/>
        <rFont val="Times New Roman"/>
        <family val="1"/>
      </rPr>
      <t>https://www.mid-assessment.com/articles-references/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</si>
</sst>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90" x14ac:knownFonts="1">
    <font>
      <sz val="10"/>
      <name val="Arial"/>
    </font>
    <font>
      <b/>
      <sz val="10"/>
      <name val="Arial"/>
      <family val="2"/>
    </font>
    <font>
      <sz val="10"/>
      <name val="Arial"/>
      <family val="2"/>
    </font>
    <font>
      <i/>
      <sz val="10"/>
      <name val="Arial"/>
      <family val="2"/>
    </font>
    <font>
      <b/>
      <i/>
      <sz val="10"/>
      <name val="Arial"/>
      <family val="2"/>
    </font>
    <font>
      <b/>
      <sz val="14"/>
      <name val="Arial"/>
      <family val="2"/>
    </font>
    <font>
      <b/>
      <sz val="10"/>
      <color indexed="17"/>
      <name val="Arial"/>
      <family val="2"/>
    </font>
    <font>
      <b/>
      <sz val="10"/>
      <color indexed="12"/>
      <name val="Arial"/>
      <family val="2"/>
    </font>
    <font>
      <sz val="10"/>
      <color indexed="17"/>
      <name val="Arial"/>
      <family val="2"/>
    </font>
    <font>
      <b/>
      <sz val="10"/>
      <color indexed="10"/>
      <name val="Arial"/>
      <family val="2"/>
    </font>
    <font>
      <sz val="10"/>
      <color indexed="10"/>
      <name val="Arial"/>
      <family val="2"/>
    </font>
    <font>
      <sz val="10"/>
      <color indexed="8"/>
      <name val="Arial"/>
      <family val="2"/>
    </font>
    <font>
      <b/>
      <u/>
      <sz val="10"/>
      <name val="Arial"/>
      <family val="2"/>
    </font>
    <font>
      <sz val="8"/>
      <color indexed="81"/>
      <name val="Tahoma"/>
      <family val="2"/>
    </font>
    <font>
      <b/>
      <sz val="8"/>
      <color indexed="81"/>
      <name val="Tahoma"/>
      <family val="2"/>
    </font>
    <font>
      <b/>
      <sz val="12"/>
      <color indexed="10"/>
      <name val="Arial"/>
      <family val="2"/>
    </font>
    <font>
      <sz val="10"/>
      <color indexed="12"/>
      <name val="Arial"/>
      <family val="2"/>
    </font>
    <font>
      <b/>
      <sz val="12"/>
      <name val="Arial"/>
      <family val="2"/>
    </font>
    <font>
      <b/>
      <sz val="11"/>
      <name val="Arial"/>
      <family val="2"/>
    </font>
    <font>
      <b/>
      <sz val="10"/>
      <color indexed="14"/>
      <name val="Arial"/>
      <family val="2"/>
    </font>
    <font>
      <sz val="12"/>
      <name val="Times New Roman"/>
      <family val="1"/>
    </font>
    <font>
      <b/>
      <sz val="12"/>
      <name val="Times New Roman"/>
      <family val="1"/>
    </font>
    <font>
      <b/>
      <sz val="16"/>
      <name val="Tahoma"/>
      <family val="2"/>
    </font>
    <font>
      <b/>
      <i/>
      <sz val="12"/>
      <name val="Times New Roman"/>
      <family val="1"/>
    </font>
    <font>
      <i/>
      <sz val="12"/>
      <name val="Times New Roman"/>
      <family val="1"/>
    </font>
    <font>
      <b/>
      <sz val="18"/>
      <name val="Tahoma"/>
      <family val="2"/>
    </font>
    <font>
      <b/>
      <sz val="28"/>
      <name val="Tahoma"/>
      <family val="2"/>
    </font>
    <font>
      <b/>
      <sz val="8"/>
      <name val="Tahoma"/>
      <family val="2"/>
    </font>
    <font>
      <sz val="12"/>
      <name val="Tahoma"/>
      <family val="2"/>
    </font>
    <font>
      <sz val="8"/>
      <name val="Times New Roman"/>
      <family val="1"/>
    </font>
    <font>
      <sz val="10"/>
      <name val="Times New Roman"/>
      <family val="1"/>
    </font>
    <font>
      <b/>
      <sz val="8"/>
      <name val="Times New Roman"/>
      <family val="1"/>
    </font>
    <font>
      <b/>
      <sz val="12"/>
      <name val="Tahoma"/>
      <family val="2"/>
    </font>
    <font>
      <b/>
      <sz val="11"/>
      <name val="Times New Roman"/>
      <family val="1"/>
    </font>
    <font>
      <sz val="11"/>
      <name val="Times New Roman"/>
      <family val="1"/>
    </font>
    <font>
      <sz val="12"/>
      <color indexed="8"/>
      <name val="Times New Roman"/>
      <family val="1"/>
    </font>
    <font>
      <b/>
      <sz val="12"/>
      <color indexed="8"/>
      <name val="Times New Roman"/>
      <family val="1"/>
    </font>
    <font>
      <sz val="11"/>
      <color indexed="8"/>
      <name val="Times New Roman"/>
      <family val="1"/>
    </font>
    <font>
      <b/>
      <sz val="12"/>
      <color indexed="10"/>
      <name val="Times New Roman"/>
      <family val="1"/>
    </font>
    <font>
      <u/>
      <sz val="10"/>
      <name val="Arial"/>
      <family val="2"/>
    </font>
    <font>
      <b/>
      <sz val="9"/>
      <name val="Arial"/>
      <family val="2"/>
    </font>
    <font>
      <b/>
      <sz val="13"/>
      <name val="Arial"/>
      <family val="2"/>
    </font>
    <font>
      <b/>
      <i/>
      <sz val="9"/>
      <name val="Arial"/>
      <family val="2"/>
    </font>
    <font>
      <i/>
      <sz val="9"/>
      <name val="Arial"/>
      <family val="2"/>
    </font>
    <font>
      <sz val="9"/>
      <name val="Arial"/>
      <family val="2"/>
    </font>
    <font>
      <sz val="10"/>
      <color rgb="FF0000FF"/>
      <name val="Arial"/>
      <family val="2"/>
    </font>
    <font>
      <u/>
      <sz val="10"/>
      <color theme="10"/>
      <name val="Arial"/>
      <family val="2"/>
    </font>
    <font>
      <u/>
      <sz val="10"/>
      <color theme="11"/>
      <name val="Arial"/>
      <family val="2"/>
    </font>
    <font>
      <sz val="9.5"/>
      <name val="Arial"/>
      <family val="2"/>
    </font>
    <font>
      <i/>
      <sz val="9.5"/>
      <name val="Arial"/>
      <family val="2"/>
    </font>
    <font>
      <b/>
      <sz val="9.5"/>
      <name val="Arial"/>
      <family val="2"/>
    </font>
    <font>
      <i/>
      <sz val="8.5"/>
      <name val="Arial"/>
      <family val="2"/>
    </font>
    <font>
      <sz val="10"/>
      <name val="Arial"/>
      <family val="2"/>
    </font>
    <font>
      <sz val="8"/>
      <color rgb="FF000000"/>
      <name val="Tahoma"/>
      <family val="2"/>
    </font>
    <font>
      <b/>
      <sz val="8"/>
      <color rgb="FF000000"/>
      <name val="Tahoma"/>
      <family val="2"/>
    </font>
    <font>
      <b/>
      <sz val="10"/>
      <color rgb="FF0432FF"/>
      <name val="Arial"/>
      <family val="2"/>
    </font>
    <font>
      <b/>
      <sz val="10"/>
      <color rgb="FFFF0000"/>
      <name val="Arial"/>
      <family val="2"/>
    </font>
    <font>
      <sz val="10"/>
      <color rgb="FFC00000"/>
      <name val="Arial"/>
      <family val="2"/>
    </font>
    <font>
      <b/>
      <i/>
      <sz val="9.5"/>
      <name val="Arial"/>
      <family val="2"/>
    </font>
    <font>
      <sz val="10"/>
      <color rgb="FFFF0000"/>
      <name val="Arial"/>
      <family val="2"/>
    </font>
    <font>
      <i/>
      <sz val="10"/>
      <color theme="1"/>
      <name val="Arial"/>
      <family val="2"/>
    </font>
    <font>
      <b/>
      <sz val="10"/>
      <color rgb="FFFF00FF"/>
      <name val="Arial"/>
      <family val="2"/>
    </font>
    <font>
      <b/>
      <sz val="10"/>
      <color theme="1"/>
      <name val="Arial"/>
      <family val="2"/>
    </font>
    <font>
      <b/>
      <i/>
      <sz val="11"/>
      <name val="Arial"/>
      <family val="2"/>
    </font>
    <font>
      <sz val="11"/>
      <name val="Arial"/>
      <family val="2"/>
    </font>
    <font>
      <i/>
      <sz val="8"/>
      <name val="Arial"/>
      <family val="2"/>
    </font>
    <font>
      <b/>
      <i/>
      <sz val="9"/>
      <color theme="1"/>
      <name val="Arial"/>
      <family val="2"/>
    </font>
    <font>
      <sz val="8.5"/>
      <name val="Arial"/>
      <family val="2"/>
    </font>
    <font>
      <b/>
      <sz val="8.5"/>
      <name val="Arial"/>
      <family val="2"/>
    </font>
    <font>
      <b/>
      <i/>
      <sz val="8.5"/>
      <name val="Arial"/>
      <family val="2"/>
    </font>
    <font>
      <sz val="10"/>
      <color rgb="FF000000"/>
      <name val="Arial"/>
      <family val="2"/>
    </font>
    <font>
      <sz val="10"/>
      <color theme="1"/>
      <name val="Arial"/>
      <family val="2"/>
    </font>
    <font>
      <sz val="12"/>
      <color theme="1"/>
      <name val="Times New Roman"/>
      <family val="1"/>
    </font>
    <font>
      <b/>
      <i/>
      <sz val="12"/>
      <color rgb="FF0432FF"/>
      <name val="Times New Roman"/>
      <family val="1"/>
    </font>
    <font>
      <b/>
      <sz val="12"/>
      <color rgb="FF0432FF"/>
      <name val="Times New Roman"/>
      <family val="1"/>
    </font>
    <font>
      <b/>
      <sz val="16"/>
      <name val="Times New Roman"/>
      <family val="1"/>
    </font>
    <font>
      <b/>
      <i/>
      <sz val="16"/>
      <name val="Times New Roman"/>
      <family val="1"/>
    </font>
    <font>
      <b/>
      <sz val="12"/>
      <color theme="1"/>
      <name val="Times New Roman"/>
      <family val="1"/>
    </font>
    <font>
      <b/>
      <i/>
      <sz val="12"/>
      <color theme="1"/>
      <name val="Times New Roman"/>
      <family val="1"/>
    </font>
    <font>
      <sz val="10"/>
      <color rgb="FF000000"/>
      <name val="Tahoma"/>
      <family val="2"/>
    </font>
    <font>
      <b/>
      <sz val="12"/>
      <color theme="7"/>
      <name val="Arial"/>
      <family val="2"/>
    </font>
    <font>
      <b/>
      <sz val="12"/>
      <color theme="8" tint="-0.249977111117893"/>
      <name val="Arial"/>
      <family val="2"/>
    </font>
    <font>
      <b/>
      <sz val="12"/>
      <color rgb="FFC1A539"/>
      <name val="Arial"/>
      <family val="2"/>
    </font>
    <font>
      <sz val="10"/>
      <color theme="0" tint="-4.9989318521683403E-2"/>
      <name val="Arial"/>
      <family val="2"/>
    </font>
    <font>
      <b/>
      <sz val="10"/>
      <color theme="0" tint="-4.9989318521683403E-2"/>
      <name val="Arial"/>
      <family val="2"/>
    </font>
    <font>
      <b/>
      <i/>
      <sz val="10"/>
      <color rgb="FFC00000"/>
      <name val="Arial"/>
      <family val="2"/>
    </font>
    <font>
      <b/>
      <i/>
      <u/>
      <sz val="10"/>
      <color rgb="FFC00000"/>
      <name val="Arial"/>
      <family val="2"/>
    </font>
    <font>
      <b/>
      <sz val="12"/>
      <color theme="6" tint="-0.499984740745262"/>
      <name val="Times New Roman"/>
      <family val="1"/>
    </font>
    <font>
      <b/>
      <i/>
      <sz val="12"/>
      <color theme="6" tint="-0.499984740745262"/>
      <name val="Times New Roman"/>
      <family val="1"/>
    </font>
    <font>
      <i/>
      <sz val="7.5"/>
      <name val="Arial"/>
      <family val="2"/>
    </font>
  </fonts>
  <fills count="29">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4A8"/>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2"/>
        <bgColor indexed="64"/>
      </patternFill>
    </fill>
    <fill>
      <patternFill patternType="solid">
        <fgColor theme="5" tint="0.39997558519241921"/>
        <bgColor indexed="64"/>
      </patternFill>
    </fill>
    <fill>
      <patternFill patternType="solid">
        <fgColor rgb="FFFFF5C3"/>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rgb="FF000000"/>
      </patternFill>
    </fill>
    <fill>
      <patternFill patternType="solid">
        <fgColor theme="0" tint="-0.14999847407452621"/>
        <bgColor rgb="FF000000"/>
      </patternFill>
    </fill>
    <fill>
      <patternFill patternType="solid">
        <fgColor theme="9" tint="0.79998168889431442"/>
        <bgColor indexed="64"/>
      </patternFill>
    </fill>
    <fill>
      <patternFill patternType="solid">
        <fgColor rgb="FFFFF58C"/>
        <bgColor indexed="64"/>
      </patternFill>
    </fill>
    <fill>
      <patternFill patternType="solid">
        <fgColor theme="2" tint="-0.249977111117893"/>
        <bgColor indexed="64"/>
      </patternFill>
    </fill>
    <fill>
      <patternFill patternType="solid">
        <fgColor theme="7" tint="0.79998168889431442"/>
        <bgColor rgb="FF000000"/>
      </patternFill>
    </fill>
  </fills>
  <borders count="115">
    <border>
      <left/>
      <right/>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diagonal/>
    </border>
    <border>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medium">
        <color auto="1"/>
      </right>
      <top style="medium">
        <color auto="1"/>
      </top>
      <bottom/>
      <diagonal/>
    </border>
    <border>
      <left style="thin">
        <color auto="1"/>
      </left>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diagonal/>
    </border>
    <border>
      <left style="medium">
        <color auto="1"/>
      </left>
      <right/>
      <top style="medium">
        <color auto="1"/>
      </top>
      <bottom style="medium">
        <color auto="1"/>
      </bottom>
      <diagonal/>
    </border>
    <border>
      <left/>
      <right style="thin">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top style="thin">
        <color theme="0" tint="-0.34998626667073579"/>
      </top>
      <bottom style="thin">
        <color theme="0" tint="-0.34998626667073579"/>
      </bottom>
      <diagonal/>
    </border>
    <border>
      <left/>
      <right/>
      <top style="thin">
        <color auto="1"/>
      </top>
      <bottom style="thin">
        <color theme="0" tint="-0.34998626667073579"/>
      </bottom>
      <diagonal/>
    </border>
    <border>
      <left/>
      <right style="medium">
        <color auto="1"/>
      </right>
      <top style="thin">
        <color auto="1"/>
      </top>
      <bottom style="thin">
        <color theme="0" tint="-0.34998626667073579"/>
      </bottom>
      <diagonal/>
    </border>
    <border>
      <left style="medium">
        <color auto="1"/>
      </left>
      <right/>
      <top style="thin">
        <color auto="1"/>
      </top>
      <bottom style="thin">
        <color theme="0" tint="-0.34998626667073579"/>
      </bottom>
      <diagonal/>
    </border>
    <border>
      <left style="medium">
        <color auto="1"/>
      </left>
      <right/>
      <top style="thin">
        <color theme="0" tint="-0.34998626667073579"/>
      </top>
      <bottom style="thin">
        <color theme="0" tint="-0.34998626667073579"/>
      </bottom>
      <diagonal/>
    </border>
    <border>
      <left/>
      <right style="medium">
        <color auto="1"/>
      </right>
      <top style="thin">
        <color theme="0" tint="-0.34998626667073579"/>
      </top>
      <bottom style="thin">
        <color theme="0" tint="-0.34998626667073579"/>
      </bottom>
      <diagonal/>
    </border>
    <border>
      <left style="thin">
        <color auto="1"/>
      </left>
      <right/>
      <top/>
      <bottom style="medium">
        <color auto="1"/>
      </bottom>
      <diagonal/>
    </border>
    <border>
      <left/>
      <right style="dashed">
        <color auto="1"/>
      </right>
      <top style="thin">
        <color auto="1"/>
      </top>
      <bottom/>
      <diagonal/>
    </border>
    <border>
      <left/>
      <right style="dashed">
        <color auto="1"/>
      </right>
      <top/>
      <bottom/>
      <diagonal/>
    </border>
    <border>
      <left/>
      <right style="dashed">
        <color auto="1"/>
      </right>
      <top/>
      <bottom style="medium">
        <color auto="1"/>
      </bottom>
      <diagonal/>
    </border>
    <border>
      <left/>
      <right style="dashed">
        <color auto="1"/>
      </right>
      <top/>
      <bottom style="thin">
        <color auto="1"/>
      </bottom>
      <diagonal/>
    </border>
    <border>
      <left/>
      <right/>
      <top/>
      <bottom style="thin">
        <color theme="0" tint="-0.34998626667073579"/>
      </bottom>
      <diagonal/>
    </border>
    <border>
      <left/>
      <right style="medium">
        <color auto="1"/>
      </right>
      <top/>
      <bottom style="thin">
        <color theme="0" tint="-0.34998626667073579"/>
      </bottom>
      <diagonal/>
    </border>
    <border>
      <left/>
      <right/>
      <top style="thin">
        <color theme="0" tint="-0.34998626667073579"/>
      </top>
      <bottom/>
      <diagonal/>
    </border>
    <border>
      <left/>
      <right style="medium">
        <color auto="1"/>
      </right>
      <top style="thin">
        <color theme="0" tint="-0.34998626667073579"/>
      </top>
      <bottom/>
      <diagonal/>
    </border>
    <border>
      <left style="medium">
        <color auto="1"/>
      </left>
      <right/>
      <top/>
      <bottom style="dashed">
        <color auto="1"/>
      </bottom>
      <diagonal/>
    </border>
    <border>
      <left/>
      <right/>
      <top/>
      <bottom style="dashed">
        <color auto="1"/>
      </bottom>
      <diagonal/>
    </border>
    <border>
      <left style="medium">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right style="medium">
        <color auto="1"/>
      </right>
      <top/>
      <bottom style="dashed">
        <color auto="1"/>
      </bottom>
      <diagonal/>
    </border>
    <border>
      <left/>
      <right style="thin">
        <color auto="1"/>
      </right>
      <top/>
      <bottom style="dashed">
        <color auto="1"/>
      </bottom>
      <diagonal/>
    </border>
    <border>
      <left style="medium">
        <color auto="1"/>
      </left>
      <right/>
      <top style="dashed">
        <color auto="1"/>
      </top>
      <bottom/>
      <diagonal/>
    </border>
    <border>
      <left/>
      <right/>
      <top style="dashed">
        <color auto="1"/>
      </top>
      <bottom/>
      <diagonal/>
    </border>
    <border>
      <left/>
      <right style="thin">
        <color auto="1"/>
      </right>
      <top style="dashed">
        <color auto="1"/>
      </top>
      <bottom/>
      <diagonal/>
    </border>
    <border>
      <left/>
      <right style="thin">
        <color auto="1"/>
      </right>
      <top style="dashed">
        <color auto="1"/>
      </top>
      <bottom style="medium">
        <color auto="1"/>
      </bottom>
      <diagonal/>
    </border>
    <border>
      <left style="medium">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right style="medium">
        <color auto="1"/>
      </right>
      <top style="dashed">
        <color auto="1"/>
      </top>
      <bottom/>
      <diagonal/>
    </border>
    <border>
      <left/>
      <right style="medium">
        <color auto="1"/>
      </right>
      <top style="dashed">
        <color auto="1"/>
      </top>
      <bottom style="dashed">
        <color auto="1"/>
      </bottom>
      <diagonal/>
    </border>
    <border>
      <left style="medium">
        <color auto="1"/>
      </left>
      <right style="dashed">
        <color auto="1"/>
      </right>
      <top style="thin">
        <color auto="1"/>
      </top>
      <bottom style="thin">
        <color auto="1"/>
      </bottom>
      <diagonal/>
    </border>
    <border>
      <left style="medium">
        <color auto="1"/>
      </left>
      <right style="dashed">
        <color auto="1"/>
      </right>
      <top style="thin">
        <color auto="1"/>
      </top>
      <bottom/>
      <diagonal/>
    </border>
    <border>
      <left style="medium">
        <color auto="1"/>
      </left>
      <right style="dashed">
        <color auto="1"/>
      </right>
      <top/>
      <bottom/>
      <diagonal/>
    </border>
    <border>
      <left style="medium">
        <color auto="1"/>
      </left>
      <right style="dashed">
        <color auto="1"/>
      </right>
      <top/>
      <bottom style="thin">
        <color auto="1"/>
      </bottom>
      <diagonal/>
    </border>
    <border>
      <left style="medium">
        <color auto="1"/>
      </left>
      <right style="dashed">
        <color indexed="64"/>
      </right>
      <top/>
      <bottom style="medium">
        <color auto="1"/>
      </bottom>
      <diagonal/>
    </border>
    <border>
      <left style="medium">
        <color auto="1"/>
      </left>
      <right style="dashed">
        <color indexed="64"/>
      </right>
      <top style="thin">
        <color theme="0" tint="-0.34998626667073579"/>
      </top>
      <bottom style="thin">
        <color auto="1"/>
      </bottom>
      <diagonal/>
    </border>
    <border>
      <left style="medium">
        <color auto="1"/>
      </left>
      <right style="dashed">
        <color indexed="64"/>
      </right>
      <top style="thin">
        <color theme="0" tint="-0.34998626667073579"/>
      </top>
      <bottom/>
      <diagonal/>
    </border>
    <border>
      <left style="medium">
        <color auto="1"/>
      </left>
      <right style="dashed">
        <color indexed="64"/>
      </right>
      <top/>
      <bottom style="thin">
        <color theme="0" tint="-0.34998626667073579"/>
      </bottom>
      <diagonal/>
    </border>
    <border>
      <left style="dashed">
        <color indexed="64"/>
      </left>
      <right style="dashed">
        <color indexed="64"/>
      </right>
      <top style="thin">
        <color theme="0" tint="-0.34998626667073579"/>
      </top>
      <bottom/>
      <diagonal/>
    </border>
    <border>
      <left style="dashed">
        <color indexed="64"/>
      </left>
      <right style="dashed">
        <color indexed="64"/>
      </right>
      <top/>
      <bottom/>
      <diagonal/>
    </border>
    <border>
      <left style="dashed">
        <color indexed="64"/>
      </left>
      <right style="dashed">
        <color indexed="64"/>
      </right>
      <top/>
      <bottom style="thin">
        <color theme="0" tint="-0.34998626667073579"/>
      </bottom>
      <diagonal/>
    </border>
    <border>
      <left style="dashed">
        <color auto="1"/>
      </left>
      <right style="dashed">
        <color indexed="64"/>
      </right>
      <top style="thin">
        <color auto="1"/>
      </top>
      <bottom style="thin">
        <color auto="1"/>
      </bottom>
      <diagonal/>
    </border>
    <border>
      <left style="dashed">
        <color auto="1"/>
      </left>
      <right style="dashed">
        <color indexed="64"/>
      </right>
      <top style="thin">
        <color auto="1"/>
      </top>
      <bottom/>
      <diagonal/>
    </border>
    <border>
      <left style="dashed">
        <color auto="1"/>
      </left>
      <right style="dashed">
        <color indexed="64"/>
      </right>
      <top/>
      <bottom style="thin">
        <color auto="1"/>
      </bottom>
      <diagonal/>
    </border>
    <border>
      <left style="dashed">
        <color auto="1"/>
      </left>
      <right style="dashed">
        <color indexed="64"/>
      </right>
      <top/>
      <bottom style="medium">
        <color auto="1"/>
      </bottom>
      <diagonal/>
    </border>
    <border>
      <left/>
      <right style="dashed">
        <color indexed="64"/>
      </right>
      <top style="thin">
        <color theme="0" tint="-0.34998626667073579"/>
      </top>
      <bottom style="thin">
        <color auto="1"/>
      </bottom>
      <diagonal/>
    </border>
    <border>
      <left style="dashed">
        <color indexed="64"/>
      </left>
      <right style="dashed">
        <color indexed="64"/>
      </right>
      <top style="thin">
        <color theme="0" tint="-0.34998626667073579"/>
      </top>
      <bottom style="thin">
        <color auto="1"/>
      </bottom>
      <diagonal/>
    </border>
    <border>
      <left/>
      <right style="dashed">
        <color indexed="64"/>
      </right>
      <top style="thin">
        <color auto="1"/>
      </top>
      <bottom style="thin">
        <color auto="1"/>
      </bottom>
      <diagonal/>
    </border>
    <border>
      <left/>
      <right style="dashed">
        <color indexed="64"/>
      </right>
      <top style="thin">
        <color theme="0" tint="-0.34998626667073579"/>
      </top>
      <bottom/>
      <diagonal/>
    </border>
    <border>
      <left/>
      <right style="dashed">
        <color indexed="64"/>
      </right>
      <top/>
      <bottom style="thin">
        <color theme="0" tint="-0.34998626667073579"/>
      </bottom>
      <diagonal/>
    </border>
    <border>
      <left style="thin">
        <color auto="1"/>
      </left>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s>
  <cellStyleXfs count="5">
    <xf numFmtId="0" fontId="0" fillId="0" borderId="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cellStyleXfs>
  <cellXfs count="1069">
    <xf numFmtId="0" fontId="0" fillId="0" borderId="0" xfId="0"/>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wrapText="1"/>
    </xf>
    <xf numFmtId="0" fontId="1" fillId="0" borderId="0" xfId="0" applyFont="1" applyAlignment="1">
      <alignment vertical="top" wrapText="1"/>
    </xf>
    <xf numFmtId="0" fontId="2" fillId="0" borderId="0" xfId="0" applyFont="1"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4" xfId="0" applyFont="1" applyBorder="1" applyAlignment="1">
      <alignment horizontal="center" wrapText="1"/>
    </xf>
    <xf numFmtId="0" fontId="5" fillId="0" borderId="0" xfId="0" applyFont="1" applyAlignment="1">
      <alignment vertical="top"/>
    </xf>
    <xf numFmtId="0" fontId="0" fillId="0" borderId="0" xfId="0" applyAlignment="1">
      <alignment vertical="top"/>
    </xf>
    <xf numFmtId="2" fontId="0" fillId="0" borderId="0" xfId="0" applyNumberFormat="1" applyAlignment="1">
      <alignment horizontal="center" vertical="top"/>
    </xf>
    <xf numFmtId="0" fontId="9" fillId="0" borderId="0" xfId="0" applyFont="1" applyAlignment="1">
      <alignment vertical="top"/>
    </xf>
    <xf numFmtId="2" fontId="0" fillId="0" borderId="0" xfId="0" applyNumberFormat="1" applyAlignment="1">
      <alignment horizontal="center" vertical="top" wrapText="1"/>
    </xf>
    <xf numFmtId="0" fontId="1" fillId="0" borderId="0" xfId="0" applyFont="1" applyAlignment="1">
      <alignment vertical="top"/>
    </xf>
    <xf numFmtId="2" fontId="7" fillId="0" borderId="0" xfId="0" applyNumberFormat="1" applyFont="1" applyAlignment="1">
      <alignment horizontal="center" vertical="top"/>
    </xf>
    <xf numFmtId="2" fontId="9" fillId="0" borderId="0" xfId="0" applyNumberFormat="1" applyFont="1" applyAlignment="1">
      <alignment horizontal="center" vertical="top"/>
    </xf>
    <xf numFmtId="0" fontId="6" fillId="0" borderId="0" xfId="0" applyFont="1" applyAlignment="1">
      <alignment vertical="top"/>
    </xf>
    <xf numFmtId="0" fontId="10" fillId="0" borderId="0" xfId="0" applyFont="1" applyAlignment="1">
      <alignment vertical="top"/>
    </xf>
    <xf numFmtId="0" fontId="15" fillId="0" borderId="0" xfId="0" applyFont="1" applyAlignment="1">
      <alignment vertical="top"/>
    </xf>
    <xf numFmtId="0" fontId="0" fillId="2" borderId="0" xfId="0" applyFill="1" applyAlignment="1">
      <alignment vertical="top"/>
    </xf>
    <xf numFmtId="2" fontId="10" fillId="0" borderId="0" xfId="0" applyNumberFormat="1" applyFont="1" applyAlignment="1">
      <alignment horizontal="center" vertical="top"/>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6" fillId="0" borderId="0" xfId="0" applyFont="1" applyAlignment="1">
      <alignment vertical="top"/>
    </xf>
    <xf numFmtId="0" fontId="1" fillId="0" borderId="0" xfId="0" applyFont="1" applyAlignment="1">
      <alignment horizontal="left" vertical="top"/>
    </xf>
    <xf numFmtId="0" fontId="1" fillId="2" borderId="0" xfId="0" applyFont="1" applyFill="1" applyAlignment="1">
      <alignment horizontal="left" vertical="top"/>
    </xf>
    <xf numFmtId="0" fontId="9" fillId="2" borderId="0" xfId="0" applyFont="1" applyFill="1" applyAlignment="1">
      <alignment horizontal="left" vertical="top"/>
    </xf>
    <xf numFmtId="164" fontId="17" fillId="0" borderId="0" xfId="0" applyNumberFormat="1" applyFont="1"/>
    <xf numFmtId="164" fontId="0" fillId="0" borderId="0" xfId="0" applyNumberFormat="1"/>
    <xf numFmtId="164" fontId="0" fillId="0" borderId="0" xfId="0" applyNumberFormat="1" applyAlignment="1">
      <alignment horizontal="left"/>
    </xf>
    <xf numFmtId="0" fontId="0" fillId="2" borderId="0" xfId="0" applyFill="1" applyAlignment="1">
      <alignment horizontal="right" vertical="top"/>
    </xf>
    <xf numFmtId="0" fontId="0" fillId="0" borderId="0" xfId="0" applyAlignment="1" applyProtection="1">
      <alignment horizontal="center" vertical="center" wrapText="1"/>
      <protection locked="0"/>
    </xf>
    <xf numFmtId="0" fontId="11" fillId="0" borderId="0" xfId="0" applyFont="1" applyAlignment="1">
      <alignment vertical="top"/>
    </xf>
    <xf numFmtId="0" fontId="0" fillId="2" borderId="0" xfId="0" quotePrefix="1" applyFill="1" applyAlignment="1">
      <alignment vertical="top"/>
    </xf>
    <xf numFmtId="0" fontId="1" fillId="0" borderId="0" xfId="0" applyFont="1" applyAlignment="1">
      <alignment horizontal="right" vertical="top"/>
    </xf>
    <xf numFmtId="0" fontId="0" fillId="0" borderId="0" xfId="0" applyAlignment="1">
      <alignment horizontal="left" vertical="top"/>
    </xf>
    <xf numFmtId="0" fontId="9" fillId="0" borderId="0" xfId="0" applyFont="1" applyAlignment="1">
      <alignment horizontal="left" vertical="top"/>
    </xf>
    <xf numFmtId="1" fontId="1" fillId="0" borderId="0" xfId="0" applyNumberFormat="1" applyFont="1" applyAlignment="1">
      <alignment horizontal="left" vertical="top"/>
    </xf>
    <xf numFmtId="164" fontId="0" fillId="0" borderId="0" xfId="0" applyNumberFormat="1" applyAlignment="1">
      <alignment horizontal="center"/>
    </xf>
    <xf numFmtId="1" fontId="0" fillId="0" borderId="0" xfId="0" applyNumberFormat="1" applyAlignment="1">
      <alignment horizontal="center"/>
    </xf>
    <xf numFmtId="164" fontId="0" fillId="0" borderId="0" xfId="0" applyNumberFormat="1" applyAlignment="1">
      <alignment horizontal="center" vertical="top" wrapText="1"/>
    </xf>
    <xf numFmtId="164" fontId="0" fillId="0" borderId="0" xfId="0" applyNumberFormat="1" applyAlignment="1">
      <alignment vertical="top" wrapText="1"/>
    </xf>
    <xf numFmtId="164" fontId="1" fillId="0" borderId="0" xfId="0" applyNumberFormat="1" applyFont="1"/>
    <xf numFmtId="1" fontId="0" fillId="0" borderId="0" xfId="0" applyNumberFormat="1" applyAlignment="1">
      <alignment horizontal="left"/>
    </xf>
    <xf numFmtId="2" fontId="19" fillId="0" borderId="0" xfId="0" applyNumberFormat="1" applyFont="1" applyAlignment="1">
      <alignment horizontal="center" vertical="top"/>
    </xf>
    <xf numFmtId="0" fontId="20" fillId="0" borderId="0" xfId="0" applyFont="1" applyAlignment="1">
      <alignment wrapText="1"/>
    </xf>
    <xf numFmtId="0" fontId="26" fillId="0" borderId="0" xfId="0" applyFont="1"/>
    <xf numFmtId="0" fontId="25" fillId="0" borderId="0" xfId="0" applyFont="1"/>
    <xf numFmtId="0" fontId="36" fillId="0" borderId="0" xfId="0" applyFont="1"/>
    <xf numFmtId="0" fontId="37" fillId="0" borderId="0" xfId="0" applyFont="1"/>
    <xf numFmtId="0" fontId="37" fillId="0" borderId="0" xfId="0" applyFont="1" applyAlignment="1">
      <alignment horizontal="left" indent="8"/>
    </xf>
    <xf numFmtId="0" fontId="37" fillId="0" borderId="0" xfId="0" applyFont="1" applyAlignment="1">
      <alignment horizontal="left" indent="4"/>
    </xf>
    <xf numFmtId="0" fontId="20" fillId="0" borderId="0" xfId="0" applyFont="1" applyAlignment="1">
      <alignment horizontal="left" indent="8"/>
    </xf>
    <xf numFmtId="0" fontId="27" fillId="0" borderId="0" xfId="0" applyFont="1"/>
    <xf numFmtId="0" fontId="28" fillId="0" borderId="0" xfId="0" applyFont="1"/>
    <xf numFmtId="0" fontId="29" fillId="0" borderId="0" xfId="0" applyFont="1"/>
    <xf numFmtId="0" fontId="30" fillId="0" borderId="0" xfId="0" applyFont="1"/>
    <xf numFmtId="0" fontId="31" fillId="0" borderId="0" xfId="0" applyFont="1"/>
    <xf numFmtId="0" fontId="20" fillId="0" borderId="0" xfId="0" applyFont="1"/>
    <xf numFmtId="0" fontId="21" fillId="0" borderId="0" xfId="0" applyFont="1"/>
    <xf numFmtId="0" fontId="24" fillId="0" borderId="0" xfId="0" applyFont="1"/>
    <xf numFmtId="0" fontId="22" fillId="0" borderId="0" xfId="0" applyFont="1"/>
    <xf numFmtId="0" fontId="20" fillId="0" borderId="0" xfId="0" applyFont="1" applyAlignment="1">
      <alignment horizontal="left" indent="4"/>
    </xf>
    <xf numFmtId="0" fontId="32" fillId="0" borderId="0" xfId="0" applyFont="1"/>
    <xf numFmtId="0" fontId="33" fillId="0" borderId="0" xfId="0" applyFont="1"/>
    <xf numFmtId="0" fontId="34" fillId="0" borderId="0" xfId="0" applyFont="1"/>
    <xf numFmtId="0" fontId="34" fillId="0" borderId="0" xfId="0" applyFont="1" applyAlignment="1">
      <alignment horizontal="left" indent="12"/>
    </xf>
    <xf numFmtId="0" fontId="35" fillId="0" borderId="0" xfId="0" applyFont="1"/>
    <xf numFmtId="0" fontId="37" fillId="0" borderId="0" xfId="0" applyFont="1" applyAlignment="1">
      <alignment horizontal="left" indent="12"/>
    </xf>
    <xf numFmtId="0" fontId="45" fillId="0" borderId="0" xfId="0" applyFont="1" applyAlignment="1">
      <alignment vertical="top"/>
    </xf>
    <xf numFmtId="164" fontId="0" fillId="0" borderId="30" xfId="0" applyNumberFormat="1" applyBorder="1"/>
    <xf numFmtId="164" fontId="0" fillId="0" borderId="31" xfId="0" applyNumberFormat="1" applyBorder="1"/>
    <xf numFmtId="1" fontId="0" fillId="0" borderId="31" xfId="0" applyNumberFormat="1" applyBorder="1" applyAlignment="1">
      <alignment horizontal="center" vertical="top"/>
    </xf>
    <xf numFmtId="0" fontId="1" fillId="4" borderId="5" xfId="0" applyFont="1" applyFill="1" applyBorder="1" applyAlignment="1">
      <alignment horizontal="center" wrapText="1"/>
    </xf>
    <xf numFmtId="0" fontId="1" fillId="4" borderId="33" xfId="0" applyFont="1" applyFill="1" applyBorder="1" applyAlignment="1">
      <alignment horizontal="center" wrapText="1"/>
    </xf>
    <xf numFmtId="0" fontId="1" fillId="4" borderId="1" xfId="0" applyFont="1" applyFill="1" applyBorder="1" applyAlignment="1">
      <alignment horizontal="left" vertical="top" wrapText="1"/>
    </xf>
    <xf numFmtId="0" fontId="1" fillId="4" borderId="37" xfId="0" applyFont="1" applyFill="1" applyBorder="1" applyAlignment="1">
      <alignment horizontal="left" vertical="top" wrapText="1"/>
    </xf>
    <xf numFmtId="0" fontId="1" fillId="4" borderId="18" xfId="0" applyFont="1" applyFill="1" applyBorder="1" applyAlignment="1">
      <alignment horizontal="left" vertical="top" wrapText="1"/>
    </xf>
    <xf numFmtId="0" fontId="1" fillId="4" borderId="36" xfId="0" applyFont="1" applyFill="1" applyBorder="1" applyAlignment="1">
      <alignment horizontal="left" vertical="top" wrapText="1"/>
    </xf>
    <xf numFmtId="0" fontId="1" fillId="4" borderId="39" xfId="0" applyFont="1" applyFill="1" applyBorder="1" applyAlignment="1">
      <alignment horizontal="center" wrapText="1"/>
    </xf>
    <xf numFmtId="0" fontId="1" fillId="4" borderId="40" xfId="0" applyFont="1" applyFill="1" applyBorder="1" applyAlignment="1">
      <alignment horizontal="center" wrapText="1"/>
    </xf>
    <xf numFmtId="0" fontId="0" fillId="4" borderId="41" xfId="0" applyFill="1" applyBorder="1" applyAlignment="1">
      <alignment horizontal="center" vertical="top" wrapText="1"/>
    </xf>
    <xf numFmtId="164" fontId="0" fillId="0" borderId="0" xfId="0" applyNumberFormat="1" applyAlignment="1">
      <alignment horizontal="center" vertical="top"/>
    </xf>
    <xf numFmtId="164" fontId="0" fillId="0" borderId="31" xfId="0" applyNumberFormat="1" applyBorder="1" applyAlignment="1">
      <alignment horizontal="center" vertical="top" wrapText="1"/>
    </xf>
    <xf numFmtId="164" fontId="0" fillId="0" borderId="31" xfId="0" applyNumberFormat="1" applyBorder="1" applyAlignment="1">
      <alignment horizontal="center"/>
    </xf>
    <xf numFmtId="164" fontId="0" fillId="0" borderId="46" xfId="0" applyNumberFormat="1" applyBorder="1"/>
    <xf numFmtId="1" fontId="0" fillId="0" borderId="0" xfId="0" applyNumberFormat="1" applyAlignment="1">
      <alignment horizontal="center" vertical="top"/>
    </xf>
    <xf numFmtId="1" fontId="2" fillId="0" borderId="0" xfId="0" applyNumberFormat="1" applyFont="1" applyAlignment="1">
      <alignment horizontal="center" vertical="top"/>
    </xf>
    <xf numFmtId="164" fontId="0" fillId="0" borderId="46" xfId="0" applyNumberFormat="1" applyBorder="1" applyAlignment="1">
      <alignment horizontal="center"/>
    </xf>
    <xf numFmtId="164" fontId="3" fillId="0" borderId="0" xfId="0" applyNumberFormat="1" applyFont="1" applyAlignment="1">
      <alignment horizontal="center"/>
    </xf>
    <xf numFmtId="164" fontId="0" fillId="0" borderId="31" xfId="0" applyNumberFormat="1" applyBorder="1" applyAlignment="1">
      <alignment vertical="center"/>
    </xf>
    <xf numFmtId="164" fontId="2" fillId="0" borderId="31" xfId="0" applyNumberFormat="1" applyFont="1" applyBorder="1" applyAlignment="1">
      <alignment horizontal="center"/>
    </xf>
    <xf numFmtId="0" fontId="1" fillId="7" borderId="0" xfId="0" applyFont="1" applyFill="1" applyAlignment="1">
      <alignment horizontal="left" vertical="top"/>
    </xf>
    <xf numFmtId="0" fontId="0" fillId="7" borderId="0" xfId="0" applyFill="1" applyAlignment="1">
      <alignment vertical="top"/>
    </xf>
    <xf numFmtId="0" fontId="1" fillId="7" borderId="0" xfId="0" applyFont="1" applyFill="1" applyAlignment="1">
      <alignment vertical="top"/>
    </xf>
    <xf numFmtId="164" fontId="0" fillId="0" borderId="0" xfId="0" applyNumberFormat="1" applyAlignment="1">
      <alignment horizontal="center" vertical="center"/>
    </xf>
    <xf numFmtId="164" fontId="0" fillId="0" borderId="0" xfId="0" applyNumberFormat="1" applyAlignment="1">
      <alignment vertical="center"/>
    </xf>
    <xf numFmtId="164" fontId="0" fillId="0" borderId="30" xfId="0" applyNumberFormat="1" applyBorder="1" applyAlignment="1">
      <alignment vertical="center"/>
    </xf>
    <xf numFmtId="164" fontId="0" fillId="0" borderId="0" xfId="0" applyNumberFormat="1" applyAlignment="1">
      <alignment vertical="center" wrapText="1"/>
    </xf>
    <xf numFmtId="164" fontId="0" fillId="0" borderId="30" xfId="0" applyNumberFormat="1" applyBorder="1" applyAlignment="1">
      <alignment vertical="center" wrapText="1"/>
    </xf>
    <xf numFmtId="164" fontId="0" fillId="0" borderId="32" xfId="0" applyNumberFormat="1" applyBorder="1" applyAlignment="1">
      <alignment vertical="center"/>
    </xf>
    <xf numFmtId="164" fontId="1" fillId="0" borderId="0" xfId="0" applyNumberFormat="1" applyFont="1" applyAlignment="1">
      <alignment horizontal="right" vertical="center"/>
    </xf>
    <xf numFmtId="164" fontId="0" fillId="0" borderId="30" xfId="0" applyNumberFormat="1" applyBorder="1" applyAlignment="1">
      <alignment horizontal="center" vertical="center"/>
    </xf>
    <xf numFmtId="164" fontId="0" fillId="0" borderId="46" xfId="0" applyNumberFormat="1" applyBorder="1" applyAlignment="1">
      <alignment vertical="center"/>
    </xf>
    <xf numFmtId="2" fontId="0" fillId="5" borderId="0" xfId="0" applyNumberFormat="1" applyFill="1" applyAlignment="1">
      <alignment horizontal="center" vertical="top"/>
    </xf>
    <xf numFmtId="0" fontId="0" fillId="5" borderId="0" xfId="0" applyFill="1" applyAlignment="1">
      <alignment vertical="top"/>
    </xf>
    <xf numFmtId="0" fontId="9" fillId="5" borderId="0" xfId="0" applyFont="1" applyFill="1" applyAlignment="1">
      <alignment vertical="top"/>
    </xf>
    <xf numFmtId="0" fontId="1" fillId="5" borderId="0" xfId="0" applyFont="1" applyFill="1" applyAlignment="1">
      <alignment horizontal="left" vertical="top"/>
    </xf>
    <xf numFmtId="1" fontId="4" fillId="0" borderId="0" xfId="0" applyNumberFormat="1" applyFont="1" applyAlignment="1">
      <alignment horizontal="left" vertical="top"/>
    </xf>
    <xf numFmtId="1" fontId="0" fillId="0" borderId="0" xfId="0" applyNumberFormat="1" applyAlignment="1">
      <alignment horizontal="center" vertical="center"/>
    </xf>
    <xf numFmtId="164" fontId="0" fillId="0" borderId="0" xfId="0" applyNumberFormat="1" applyAlignment="1">
      <alignment horizontal="center" vertical="center" wrapText="1"/>
    </xf>
    <xf numFmtId="164" fontId="0" fillId="0" borderId="32" xfId="0" applyNumberFormat="1" applyBorder="1"/>
    <xf numFmtId="0" fontId="0" fillId="0" borderId="2" xfId="0" applyBorder="1" applyAlignment="1">
      <alignment horizontal="left" vertical="top" wrapText="1"/>
    </xf>
    <xf numFmtId="0" fontId="1" fillId="0" borderId="0" xfId="0" applyFont="1" applyAlignment="1">
      <alignment horizontal="center" vertical="top" wrapText="1"/>
    </xf>
    <xf numFmtId="2" fontId="52" fillId="0" borderId="0" xfId="0" applyNumberFormat="1" applyFont="1" applyAlignment="1">
      <alignment horizontal="center" vertical="top"/>
    </xf>
    <xf numFmtId="164" fontId="50" fillId="3" borderId="38" xfId="0" applyNumberFormat="1" applyFont="1" applyFill="1" applyBorder="1" applyAlignment="1">
      <alignment horizontal="right" vertical="center"/>
    </xf>
    <xf numFmtId="164" fontId="0" fillId="0" borderId="0" xfId="0" applyNumberFormat="1" applyAlignment="1">
      <alignment horizontal="left" vertical="center"/>
    </xf>
    <xf numFmtId="0" fontId="8" fillId="5" borderId="0" xfId="0" applyFont="1" applyFill="1" applyAlignment="1">
      <alignment vertical="top"/>
    </xf>
    <xf numFmtId="0" fontId="0" fillId="0" borderId="0" xfId="0" applyAlignment="1">
      <alignment wrapText="1"/>
    </xf>
    <xf numFmtId="164" fontId="0" fillId="0" borderId="30" xfId="0" applyNumberFormat="1" applyBorder="1" applyAlignment="1">
      <alignment vertical="top" wrapText="1"/>
    </xf>
    <xf numFmtId="164" fontId="52" fillId="0" borderId="0" xfId="0" applyNumberFormat="1" applyFont="1" applyAlignment="1">
      <alignment horizontal="center" vertical="center"/>
    </xf>
    <xf numFmtId="164" fontId="0" fillId="0" borderId="32" xfId="0" applyNumberFormat="1" applyBorder="1" applyAlignment="1">
      <alignment vertical="center" wrapText="1"/>
    </xf>
    <xf numFmtId="2" fontId="55" fillId="0" borderId="0" xfId="0" applyNumberFormat="1" applyFont="1" applyAlignment="1">
      <alignment horizontal="center" vertical="top"/>
    </xf>
    <xf numFmtId="2" fontId="56" fillId="0" borderId="0" xfId="0" applyNumberFormat="1" applyFont="1" applyAlignment="1">
      <alignment horizontal="center" vertical="top"/>
    </xf>
    <xf numFmtId="0" fontId="57" fillId="0" borderId="0" xfId="0" applyFont="1" applyAlignment="1">
      <alignment vertical="top"/>
    </xf>
    <xf numFmtId="164" fontId="1" fillId="8" borderId="5" xfId="0" applyNumberFormat="1" applyFont="1" applyFill="1" applyBorder="1" applyAlignment="1">
      <alignment horizontal="left" vertical="center"/>
    </xf>
    <xf numFmtId="164" fontId="1" fillId="8" borderId="33" xfId="0" applyNumberFormat="1" applyFont="1" applyFill="1" applyBorder="1" applyAlignment="1">
      <alignment horizontal="left" vertical="center"/>
    </xf>
    <xf numFmtId="0" fontId="52" fillId="0" borderId="2" xfId="0" applyFont="1" applyBorder="1" applyAlignment="1">
      <alignment horizontal="left" vertical="top" wrapText="1"/>
    </xf>
    <xf numFmtId="0" fontId="52" fillId="0" borderId="1" xfId="0" applyFont="1" applyBorder="1" applyAlignment="1">
      <alignment horizontal="left" vertical="top" wrapText="1"/>
    </xf>
    <xf numFmtId="49" fontId="1" fillId="0" borderId="0" xfId="0" applyNumberFormat="1" applyFont="1" applyAlignment="1">
      <alignment horizontal="center" vertical="top"/>
    </xf>
    <xf numFmtId="0" fontId="1" fillId="0" borderId="0" xfId="0" applyFont="1" applyAlignment="1">
      <alignment horizontal="right" vertical="top" wrapText="1"/>
    </xf>
    <xf numFmtId="2" fontId="60" fillId="0" borderId="0" xfId="0" applyNumberFormat="1" applyFont="1" applyAlignment="1">
      <alignment horizontal="left" vertical="top"/>
    </xf>
    <xf numFmtId="2" fontId="61" fillId="0" borderId="0" xfId="0" applyNumberFormat="1" applyFont="1" applyAlignment="1">
      <alignment horizontal="center" vertical="top"/>
    </xf>
    <xf numFmtId="49" fontId="2" fillId="0" borderId="0" xfId="0" applyNumberFormat="1" applyFont="1" applyAlignment="1">
      <alignment horizontal="center" vertical="top"/>
    </xf>
    <xf numFmtId="164" fontId="0" fillId="0" borderId="32" xfId="0" applyNumberFormat="1" applyBorder="1" applyAlignment="1">
      <alignment vertical="top" wrapText="1"/>
    </xf>
    <xf numFmtId="164" fontId="2" fillId="0" borderId="0" xfId="0" applyNumberFormat="1" applyFont="1" applyAlignment="1">
      <alignment horizontal="center" vertical="top" wrapText="1"/>
    </xf>
    <xf numFmtId="164" fontId="2" fillId="0" borderId="0" xfId="0" applyNumberFormat="1" applyFont="1" applyAlignment="1">
      <alignment horizontal="center" vertical="center" wrapText="1"/>
    </xf>
    <xf numFmtId="49" fontId="2" fillId="0" borderId="31" xfId="0" applyNumberFormat="1" applyFont="1" applyBorder="1" applyAlignment="1">
      <alignment horizontal="center"/>
    </xf>
    <xf numFmtId="1" fontId="1" fillId="11" borderId="5" xfId="0" applyNumberFormat="1" applyFont="1" applyFill="1" applyBorder="1" applyAlignment="1">
      <alignment horizontal="left" vertical="center"/>
    </xf>
    <xf numFmtId="1" fontId="1" fillId="11" borderId="33" xfId="0" applyNumberFormat="1" applyFont="1" applyFill="1" applyBorder="1" applyAlignment="1">
      <alignment horizontal="left" vertical="center"/>
    </xf>
    <xf numFmtId="164" fontId="0" fillId="11" borderId="33" xfId="0" applyNumberFormat="1" applyFill="1" applyBorder="1" applyAlignment="1">
      <alignment vertical="center"/>
    </xf>
    <xf numFmtId="1" fontId="1" fillId="11" borderId="6" xfId="0" applyNumberFormat="1" applyFont="1" applyFill="1" applyBorder="1" applyAlignment="1">
      <alignment horizontal="left" vertical="center"/>
    </xf>
    <xf numFmtId="49" fontId="1" fillId="11" borderId="38" xfId="0" applyNumberFormat="1" applyFont="1" applyFill="1" applyBorder="1" applyAlignment="1">
      <alignment horizontal="left" vertical="center"/>
    </xf>
    <xf numFmtId="164" fontId="0" fillId="11" borderId="38" xfId="0" applyNumberFormat="1" applyFill="1" applyBorder="1" applyAlignment="1">
      <alignment vertical="center"/>
    </xf>
    <xf numFmtId="1" fontId="0" fillId="11" borderId="6" xfId="0" applyNumberFormat="1" applyFill="1" applyBorder="1" applyAlignment="1">
      <alignment horizontal="left" vertical="center"/>
    </xf>
    <xf numFmtId="1" fontId="0" fillId="11" borderId="38" xfId="0" applyNumberFormat="1" applyFill="1" applyBorder="1" applyAlignment="1">
      <alignment horizontal="left" vertical="center"/>
    </xf>
    <xf numFmtId="1" fontId="1" fillId="12" borderId="6" xfId="0" applyNumberFormat="1" applyFont="1" applyFill="1" applyBorder="1" applyAlignment="1">
      <alignment horizontal="left" vertical="center"/>
    </xf>
    <xf numFmtId="1" fontId="1" fillId="12" borderId="38" xfId="0" applyNumberFormat="1" applyFont="1" applyFill="1" applyBorder="1" applyAlignment="1">
      <alignment horizontal="left" vertical="center"/>
    </xf>
    <xf numFmtId="164" fontId="0" fillId="12" borderId="38" xfId="0" applyNumberFormat="1" applyFill="1" applyBorder="1" applyAlignment="1">
      <alignment horizontal="center" vertical="center"/>
    </xf>
    <xf numFmtId="164" fontId="0" fillId="12" borderId="38" xfId="0" applyNumberFormat="1" applyFill="1" applyBorder="1" applyAlignment="1">
      <alignment vertical="center"/>
    </xf>
    <xf numFmtId="164" fontId="2" fillId="11" borderId="38" xfId="0" applyNumberFormat="1" applyFont="1" applyFill="1" applyBorder="1" applyAlignment="1">
      <alignment vertical="center"/>
    </xf>
    <xf numFmtId="164" fontId="3" fillId="11" borderId="38" xfId="0" applyNumberFormat="1" applyFont="1" applyFill="1" applyBorder="1" applyAlignment="1">
      <alignment vertical="center"/>
    </xf>
    <xf numFmtId="164" fontId="2" fillId="0" borderId="0" xfId="0" applyNumberFormat="1" applyFont="1" applyAlignment="1">
      <alignment horizontal="center" vertical="center"/>
    </xf>
    <xf numFmtId="164" fontId="0" fillId="0" borderId="51" xfId="0" applyNumberFormat="1" applyBorder="1" applyAlignment="1">
      <alignment vertical="center" wrapText="1"/>
    </xf>
    <xf numFmtId="164" fontId="0" fillId="0" borderId="52" xfId="0" applyNumberFormat="1" applyBorder="1" applyAlignment="1">
      <alignment vertical="center" wrapText="1"/>
    </xf>
    <xf numFmtId="164" fontId="0" fillId="0" borderId="66" xfId="0" applyNumberFormat="1" applyBorder="1" applyAlignment="1">
      <alignment vertical="center" wrapText="1"/>
    </xf>
    <xf numFmtId="164" fontId="0" fillId="0" borderId="68" xfId="0" applyNumberFormat="1" applyBorder="1" applyAlignment="1">
      <alignment vertical="center" wrapText="1"/>
    </xf>
    <xf numFmtId="164" fontId="3" fillId="0" borderId="0" xfId="0" applyNumberFormat="1" applyFont="1" applyAlignment="1">
      <alignment horizontal="center" vertical="center"/>
    </xf>
    <xf numFmtId="164" fontId="50" fillId="0" borderId="0" xfId="0" applyNumberFormat="1" applyFont="1" applyAlignment="1">
      <alignment horizontal="right" vertical="center"/>
    </xf>
    <xf numFmtId="164" fontId="48" fillId="0" borderId="0" xfId="0" applyNumberFormat="1" applyFont="1" applyAlignment="1">
      <alignment horizontal="center" vertical="center"/>
    </xf>
    <xf numFmtId="2" fontId="48" fillId="0" borderId="0" xfId="0" applyNumberFormat="1" applyFont="1" applyAlignment="1">
      <alignment horizontal="center" vertical="center"/>
    </xf>
    <xf numFmtId="2" fontId="48" fillId="0" borderId="30" xfId="0" applyNumberFormat="1" applyFont="1" applyBorder="1" applyAlignment="1">
      <alignment horizontal="center" vertical="center"/>
    </xf>
    <xf numFmtId="49" fontId="1" fillId="0" borderId="31" xfId="0" applyNumberFormat="1" applyFont="1" applyBorder="1" applyAlignment="1">
      <alignment horizontal="center"/>
    </xf>
    <xf numFmtId="0" fontId="2" fillId="0" borderId="3" xfId="0" applyFont="1" applyBorder="1" applyAlignment="1">
      <alignment horizontal="left" wrapText="1"/>
    </xf>
    <xf numFmtId="0" fontId="2" fillId="2" borderId="0" xfId="0" applyFont="1" applyFill="1" applyAlignment="1">
      <alignment vertical="top"/>
    </xf>
    <xf numFmtId="164" fontId="0" fillId="12" borderId="27" xfId="0" applyNumberFormat="1" applyFill="1" applyBorder="1" applyAlignment="1">
      <alignment vertical="center"/>
    </xf>
    <xf numFmtId="1" fontId="0" fillId="0" borderId="31" xfId="0" applyNumberFormat="1" applyBorder="1" applyAlignment="1">
      <alignment horizontal="center"/>
    </xf>
    <xf numFmtId="164" fontId="0" fillId="0" borderId="70" xfId="0" applyNumberFormat="1" applyBorder="1" applyAlignment="1">
      <alignment vertical="center"/>
    </xf>
    <xf numFmtId="164" fontId="0" fillId="0" borderId="74" xfId="0" applyNumberFormat="1" applyBorder="1" applyAlignment="1">
      <alignment vertical="center"/>
    </xf>
    <xf numFmtId="0" fontId="2" fillId="0" borderId="0" xfId="0" applyFont="1" applyAlignment="1">
      <alignment vertical="top" wrapText="1"/>
    </xf>
    <xf numFmtId="0" fontId="2" fillId="0" borderId="0" xfId="0" applyFont="1" applyAlignment="1">
      <alignment vertical="top"/>
    </xf>
    <xf numFmtId="0" fontId="0" fillId="0" borderId="0" xfId="0" quotePrefix="1" applyAlignment="1">
      <alignment vertical="top"/>
    </xf>
    <xf numFmtId="164" fontId="49" fillId="17" borderId="18" xfId="0" applyNumberFormat="1" applyFont="1" applyFill="1" applyBorder="1" applyAlignment="1">
      <alignment horizontal="center" vertical="center"/>
    </xf>
    <xf numFmtId="164" fontId="0" fillId="17" borderId="18" xfId="0" applyNumberFormat="1" applyFill="1" applyBorder="1" applyAlignment="1">
      <alignment horizontal="center" vertical="center"/>
    </xf>
    <xf numFmtId="164" fontId="1" fillId="17" borderId="18" xfId="0" applyNumberFormat="1" applyFont="1" applyFill="1" applyBorder="1" applyAlignment="1">
      <alignment horizontal="left" vertical="center"/>
    </xf>
    <xf numFmtId="164" fontId="0" fillId="17" borderId="21" xfId="0" applyNumberFormat="1" applyFill="1" applyBorder="1" applyAlignment="1">
      <alignment horizontal="center" vertical="center"/>
    </xf>
    <xf numFmtId="164" fontId="0" fillId="0" borderId="0" xfId="0" applyNumberFormat="1" applyAlignment="1">
      <alignment vertical="top"/>
    </xf>
    <xf numFmtId="164" fontId="17" fillId="0" borderId="0" xfId="0" applyNumberFormat="1" applyFont="1" applyAlignment="1">
      <alignment vertical="top"/>
    </xf>
    <xf numFmtId="164" fontId="0" fillId="17" borderId="54" xfId="0" applyNumberFormat="1" applyFill="1" applyBorder="1" applyAlignment="1">
      <alignment vertical="center"/>
    </xf>
    <xf numFmtId="164" fontId="0" fillId="17" borderId="59" xfId="0" applyNumberFormat="1" applyFill="1" applyBorder="1" applyAlignment="1">
      <alignment vertical="center"/>
    </xf>
    <xf numFmtId="164" fontId="0" fillId="16" borderId="38" xfId="0" applyNumberFormat="1" applyFill="1" applyBorder="1" applyAlignment="1">
      <alignment vertical="center"/>
    </xf>
    <xf numFmtId="164" fontId="2" fillId="0" borderId="30" xfId="0" applyNumberFormat="1" applyFont="1" applyBorder="1" applyAlignment="1">
      <alignment vertical="center" wrapText="1"/>
    </xf>
    <xf numFmtId="164" fontId="3" fillId="18" borderId="38" xfId="0" applyNumberFormat="1" applyFont="1" applyFill="1" applyBorder="1" applyAlignment="1">
      <alignment horizontal="left" vertical="center"/>
    </xf>
    <xf numFmtId="164" fontId="2" fillId="0" borderId="0" xfId="0" applyNumberFormat="1" applyFont="1" applyAlignment="1">
      <alignment horizontal="center"/>
    </xf>
    <xf numFmtId="164" fontId="52" fillId="0" borderId="0" xfId="0" applyNumberFormat="1" applyFont="1" applyAlignment="1">
      <alignment horizontal="center"/>
    </xf>
    <xf numFmtId="164" fontId="1" fillId="15" borderId="5" xfId="0" applyNumberFormat="1" applyFont="1" applyFill="1" applyBorder="1" applyAlignment="1">
      <alignment horizontal="left" vertical="center"/>
    </xf>
    <xf numFmtId="164" fontId="1" fillId="15" borderId="33" xfId="0" applyNumberFormat="1" applyFont="1" applyFill="1" applyBorder="1" applyAlignment="1">
      <alignment horizontal="left" vertical="center"/>
    </xf>
    <xf numFmtId="164" fontId="1" fillId="15" borderId="1" xfId="0" applyNumberFormat="1" applyFont="1" applyFill="1" applyBorder="1" applyAlignment="1">
      <alignment horizontal="left" vertical="center"/>
    </xf>
    <xf numFmtId="164" fontId="0" fillId="0" borderId="27" xfId="0" applyNumberFormat="1" applyBorder="1" applyAlignment="1">
      <alignment vertical="center"/>
    </xf>
    <xf numFmtId="164" fontId="48" fillId="0" borderId="30" xfId="0" applyNumberFormat="1" applyFont="1" applyBorder="1" applyAlignment="1">
      <alignment vertical="center"/>
    </xf>
    <xf numFmtId="164" fontId="48" fillId="0" borderId="30" xfId="0" applyNumberFormat="1" applyFont="1" applyBorder="1" applyAlignment="1">
      <alignment vertical="center" wrapText="1"/>
    </xf>
    <xf numFmtId="1" fontId="1" fillId="12" borderId="5" xfId="0" applyNumberFormat="1" applyFont="1" applyFill="1" applyBorder="1" applyAlignment="1">
      <alignment horizontal="left" vertical="center"/>
    </xf>
    <xf numFmtId="1" fontId="1" fillId="12" borderId="33" xfId="0" applyNumberFormat="1" applyFont="1" applyFill="1" applyBorder="1" applyAlignment="1">
      <alignment horizontal="left" vertical="center"/>
    </xf>
    <xf numFmtId="164" fontId="0" fillId="12" borderId="33" xfId="0" applyNumberFormat="1" applyFill="1" applyBorder="1" applyAlignment="1">
      <alignment vertical="center"/>
    </xf>
    <xf numFmtId="164" fontId="48" fillId="0" borderId="52" xfId="0" applyNumberFormat="1" applyFont="1" applyBorder="1" applyAlignment="1">
      <alignment vertical="center" wrapText="1"/>
    </xf>
    <xf numFmtId="1" fontId="48" fillId="0" borderId="46" xfId="0" applyNumberFormat="1" applyFont="1" applyBorder="1" applyAlignment="1">
      <alignment horizontal="left" vertical="center"/>
    </xf>
    <xf numFmtId="164" fontId="48" fillId="0" borderId="46" xfId="0" applyNumberFormat="1" applyFont="1" applyBorder="1" applyAlignment="1">
      <alignment vertical="center"/>
    </xf>
    <xf numFmtId="164" fontId="2" fillId="0" borderId="0" xfId="0" applyNumberFormat="1" applyFont="1" applyAlignment="1">
      <alignment vertical="center"/>
    </xf>
    <xf numFmtId="164" fontId="2" fillId="0" borderId="30" xfId="0" applyNumberFormat="1" applyFont="1" applyBorder="1" applyAlignment="1">
      <alignment vertical="center"/>
    </xf>
    <xf numFmtId="164" fontId="2" fillId="0" borderId="31" xfId="0" applyNumberFormat="1" applyFont="1" applyBorder="1" applyAlignment="1">
      <alignment horizontal="center" vertical="center"/>
    </xf>
    <xf numFmtId="164" fontId="2" fillId="0" borderId="31" xfId="0" applyNumberFormat="1" applyFont="1" applyBorder="1" applyAlignment="1">
      <alignment vertical="center"/>
    </xf>
    <xf numFmtId="164" fontId="2" fillId="0" borderId="30" xfId="0" applyNumberFormat="1" applyFont="1" applyBorder="1" applyAlignment="1">
      <alignment vertical="top" wrapText="1"/>
    </xf>
    <xf numFmtId="164" fontId="2" fillId="0" borderId="0" xfId="0" applyNumberFormat="1" applyFont="1" applyAlignment="1">
      <alignment horizontal="center" vertical="top"/>
    </xf>
    <xf numFmtId="164" fontId="2" fillId="0" borderId="32" xfId="0" applyNumberFormat="1" applyFont="1" applyBorder="1" applyAlignment="1">
      <alignment vertical="center"/>
    </xf>
    <xf numFmtId="164" fontId="2" fillId="0" borderId="27" xfId="0" applyNumberFormat="1" applyFont="1" applyBorder="1" applyAlignment="1">
      <alignment vertical="center"/>
    </xf>
    <xf numFmtId="164" fontId="2" fillId="0" borderId="51" xfId="0" applyNumberFormat="1" applyFont="1" applyBorder="1" applyAlignment="1">
      <alignment vertical="center" wrapText="1"/>
    </xf>
    <xf numFmtId="164" fontId="64" fillId="0" borderId="0" xfId="0" applyNumberFormat="1" applyFont="1" applyAlignment="1">
      <alignment vertical="top"/>
    </xf>
    <xf numFmtId="1" fontId="0" fillId="0" borderId="31" xfId="0" applyNumberFormat="1" applyBorder="1" applyAlignment="1">
      <alignment horizontal="center" vertical="center"/>
    </xf>
    <xf numFmtId="164" fontId="3" fillId="14" borderId="38" xfId="0" applyNumberFormat="1" applyFont="1" applyFill="1" applyBorder="1" applyAlignment="1">
      <alignment horizontal="left"/>
    </xf>
    <xf numFmtId="164" fontId="2" fillId="14" borderId="2" xfId="0" applyNumberFormat="1" applyFont="1" applyFill="1" applyBorder="1" applyAlignment="1">
      <alignment wrapText="1"/>
    </xf>
    <xf numFmtId="164" fontId="0" fillId="20" borderId="33" xfId="0" applyNumberFormat="1" applyFill="1" applyBorder="1" applyAlignment="1">
      <alignment vertical="center"/>
    </xf>
    <xf numFmtId="164" fontId="0" fillId="20" borderId="38" xfId="0" applyNumberFormat="1" applyFill="1" applyBorder="1" applyAlignment="1">
      <alignment vertical="center"/>
    </xf>
    <xf numFmtId="164" fontId="0" fillId="20" borderId="27" xfId="0" applyNumberFormat="1" applyFill="1" applyBorder="1" applyAlignment="1">
      <alignment vertical="center"/>
    </xf>
    <xf numFmtId="164" fontId="65" fillId="3" borderId="9" xfId="0" applyNumberFormat="1" applyFont="1" applyFill="1" applyBorder="1" applyAlignment="1">
      <alignment horizontal="center" vertical="top"/>
    </xf>
    <xf numFmtId="164" fontId="2" fillId="21" borderId="51" xfId="0" applyNumberFormat="1" applyFont="1" applyFill="1" applyBorder="1" applyAlignment="1">
      <alignment vertical="top" wrapText="1"/>
    </xf>
    <xf numFmtId="164" fontId="2" fillId="21" borderId="30" xfId="0" applyNumberFormat="1" applyFont="1" applyFill="1" applyBorder="1" applyAlignment="1">
      <alignment vertical="top" wrapText="1"/>
    </xf>
    <xf numFmtId="164" fontId="0" fillId="8" borderId="42" xfId="0" applyNumberFormat="1" applyFill="1" applyBorder="1" applyAlignment="1">
      <alignment vertical="center"/>
    </xf>
    <xf numFmtId="164" fontId="0" fillId="8" borderId="18" xfId="0" applyNumberFormat="1" applyFill="1" applyBorder="1" applyAlignment="1">
      <alignment vertical="center"/>
    </xf>
    <xf numFmtId="164" fontId="49" fillId="8" borderId="18" xfId="0" applyNumberFormat="1" applyFont="1" applyFill="1" applyBorder="1" applyAlignment="1">
      <alignment horizontal="center" vertical="center"/>
    </xf>
    <xf numFmtId="164" fontId="0" fillId="8" borderId="18" xfId="0" applyNumberFormat="1" applyFill="1" applyBorder="1" applyAlignment="1">
      <alignment horizontal="center" vertical="center"/>
    </xf>
    <xf numFmtId="164" fontId="0" fillId="8" borderId="21" xfId="0" applyNumberFormat="1" applyFill="1" applyBorder="1" applyAlignment="1">
      <alignment vertical="center"/>
    </xf>
    <xf numFmtId="164" fontId="0" fillId="8" borderId="33" xfId="0" applyNumberFormat="1" applyFill="1" applyBorder="1" applyAlignment="1">
      <alignment vertical="center"/>
    </xf>
    <xf numFmtId="164" fontId="1" fillId="8" borderId="5" xfId="0" applyNumberFormat="1" applyFont="1" applyFill="1" applyBorder="1" applyAlignment="1">
      <alignment vertical="center"/>
    </xf>
    <xf numFmtId="164" fontId="2" fillId="8" borderId="33" xfId="0" applyNumberFormat="1" applyFont="1" applyFill="1" applyBorder="1" applyAlignment="1">
      <alignment vertical="center"/>
    </xf>
    <xf numFmtId="164" fontId="2" fillId="8" borderId="29" xfId="0" applyNumberFormat="1" applyFont="1" applyFill="1" applyBorder="1" applyAlignment="1">
      <alignment vertical="center"/>
    </xf>
    <xf numFmtId="0" fontId="3" fillId="8" borderId="25" xfId="0" applyFont="1" applyFill="1" applyBorder="1" applyAlignment="1">
      <alignment vertical="center"/>
    </xf>
    <xf numFmtId="164" fontId="0" fillId="8" borderId="30" xfId="0" applyNumberFormat="1" applyFill="1" applyBorder="1" applyAlignment="1">
      <alignment vertical="center"/>
    </xf>
    <xf numFmtId="164" fontId="1" fillId="8" borderId="25" xfId="0" applyNumberFormat="1" applyFont="1" applyFill="1" applyBorder="1" applyAlignment="1">
      <alignment horizontal="center" vertical="center"/>
    </xf>
    <xf numFmtId="164" fontId="49" fillId="8" borderId="30" xfId="0" applyNumberFormat="1" applyFont="1" applyFill="1" applyBorder="1" applyAlignment="1">
      <alignment horizontal="center" vertical="center"/>
    </xf>
    <xf numFmtId="164" fontId="0" fillId="23" borderId="30" xfId="0" applyNumberFormat="1" applyFill="1" applyBorder="1" applyAlignment="1">
      <alignment vertical="center"/>
    </xf>
    <xf numFmtId="164" fontId="51" fillId="8" borderId="30" xfId="0" applyNumberFormat="1" applyFont="1" applyFill="1" applyBorder="1" applyAlignment="1">
      <alignment horizontal="center" vertical="center"/>
    </xf>
    <xf numFmtId="164" fontId="0" fillId="8" borderId="30" xfId="0" applyNumberFormat="1" applyFill="1" applyBorder="1" applyAlignment="1">
      <alignment horizontal="center" vertical="center"/>
    </xf>
    <xf numFmtId="1" fontId="1" fillId="8" borderId="25" xfId="0" applyNumberFormat="1" applyFont="1" applyFill="1" applyBorder="1" applyAlignment="1">
      <alignment horizontal="center" vertical="center"/>
    </xf>
    <xf numFmtId="164" fontId="2" fillId="8" borderId="30" xfId="0" applyNumberFormat="1" applyFont="1" applyFill="1" applyBorder="1" applyAlignment="1">
      <alignment horizontal="center" vertical="center"/>
    </xf>
    <xf numFmtId="164" fontId="1" fillId="8" borderId="60" xfId="0" applyNumberFormat="1" applyFont="1" applyFill="1" applyBorder="1" applyAlignment="1">
      <alignment horizontal="center" vertical="center"/>
    </xf>
    <xf numFmtId="164" fontId="0" fillId="8" borderId="32" xfId="0" applyNumberFormat="1" applyFill="1" applyBorder="1" applyAlignment="1">
      <alignment horizontal="left" vertical="center"/>
    </xf>
    <xf numFmtId="164" fontId="1" fillId="18" borderId="33" xfId="0" applyNumberFormat="1" applyFont="1" applyFill="1" applyBorder="1" applyAlignment="1">
      <alignment vertical="center"/>
    </xf>
    <xf numFmtId="164" fontId="0" fillId="18" borderId="38" xfId="0" applyNumberFormat="1" applyFill="1" applyBorder="1" applyAlignment="1">
      <alignment vertical="center"/>
    </xf>
    <xf numFmtId="164" fontId="40" fillId="3" borderId="38" xfId="0" applyNumberFormat="1" applyFont="1" applyFill="1" applyBorder="1" applyAlignment="1">
      <alignment horizontal="right" vertical="center"/>
    </xf>
    <xf numFmtId="164" fontId="40" fillId="3" borderId="2" xfId="0" applyNumberFormat="1" applyFont="1" applyFill="1" applyBorder="1" applyAlignment="1">
      <alignment horizontal="center" vertical="center"/>
    </xf>
    <xf numFmtId="164" fontId="44" fillId="3" borderId="43" xfId="0" applyNumberFormat="1" applyFont="1" applyFill="1" applyBorder="1" applyAlignment="1">
      <alignment vertical="center"/>
    </xf>
    <xf numFmtId="164" fontId="1" fillId="18" borderId="5" xfId="0" applyNumberFormat="1" applyFont="1" applyFill="1" applyBorder="1" applyAlignment="1">
      <alignment horizontal="left" vertical="center"/>
    </xf>
    <xf numFmtId="164" fontId="1" fillId="18" borderId="33" xfId="0" applyNumberFormat="1" applyFont="1" applyFill="1" applyBorder="1" applyAlignment="1">
      <alignment horizontal="left" vertical="center"/>
    </xf>
    <xf numFmtId="164" fontId="0" fillId="18" borderId="33" xfId="0" applyNumberFormat="1" applyFill="1" applyBorder="1" applyAlignment="1">
      <alignment vertical="center"/>
    </xf>
    <xf numFmtId="1" fontId="1" fillId="18" borderId="6" xfId="0" applyNumberFormat="1" applyFont="1" applyFill="1" applyBorder="1" applyAlignment="1">
      <alignment horizontal="left" vertical="center"/>
    </xf>
    <xf numFmtId="1" fontId="1" fillId="18" borderId="38" xfId="0" applyNumberFormat="1" applyFont="1" applyFill="1" applyBorder="1" applyAlignment="1">
      <alignment horizontal="left" vertical="center"/>
    </xf>
    <xf numFmtId="1" fontId="2" fillId="18" borderId="6" xfId="0" applyNumberFormat="1" applyFont="1" applyFill="1" applyBorder="1" applyAlignment="1">
      <alignment horizontal="left" vertical="center"/>
    </xf>
    <xf numFmtId="1" fontId="0" fillId="18" borderId="38" xfId="0" applyNumberFormat="1" applyFill="1" applyBorder="1" applyAlignment="1">
      <alignment horizontal="left" vertical="center"/>
    </xf>
    <xf numFmtId="164" fontId="0" fillId="18" borderId="27" xfId="0" applyNumberFormat="1" applyFill="1" applyBorder="1" applyAlignment="1">
      <alignment vertical="center"/>
    </xf>
    <xf numFmtId="164" fontId="48" fillId="18" borderId="50" xfId="0" applyNumberFormat="1" applyFont="1" applyFill="1" applyBorder="1" applyAlignment="1">
      <alignment vertical="center"/>
    </xf>
    <xf numFmtId="164" fontId="44" fillId="3" borderId="27" xfId="0" applyNumberFormat="1" applyFont="1" applyFill="1" applyBorder="1" applyAlignment="1">
      <alignment vertical="center"/>
    </xf>
    <xf numFmtId="164" fontId="48" fillId="3" borderId="2" xfId="0" applyNumberFormat="1" applyFont="1" applyFill="1" applyBorder="1" applyAlignment="1">
      <alignment horizontal="center" vertical="center"/>
    </xf>
    <xf numFmtId="164" fontId="0" fillId="21" borderId="15" xfId="0" applyNumberFormat="1" applyFill="1" applyBorder="1" applyAlignment="1">
      <alignment vertical="center"/>
    </xf>
    <xf numFmtId="164" fontId="0" fillId="21" borderId="0" xfId="0" applyNumberFormat="1" applyFill="1" applyAlignment="1">
      <alignment horizontal="right" vertical="center"/>
    </xf>
    <xf numFmtId="164" fontId="1" fillId="21" borderId="24" xfId="0" applyNumberFormat="1" applyFont="1" applyFill="1" applyBorder="1" applyAlignment="1">
      <alignment horizontal="center" vertical="center"/>
    </xf>
    <xf numFmtId="164" fontId="1" fillId="21" borderId="16" xfId="0" applyNumberFormat="1" applyFont="1" applyFill="1" applyBorder="1" applyAlignment="1">
      <alignment horizontal="center" vertical="center"/>
    </xf>
    <xf numFmtId="164" fontId="1" fillId="21" borderId="28" xfId="0" applyNumberFormat="1" applyFont="1" applyFill="1" applyBorder="1" applyAlignment="1">
      <alignment horizontal="center" vertical="center"/>
    </xf>
    <xf numFmtId="164" fontId="1" fillId="21" borderId="20" xfId="0" applyNumberFormat="1" applyFont="1" applyFill="1" applyBorder="1" applyAlignment="1">
      <alignment horizontal="center" vertical="center"/>
    </xf>
    <xf numFmtId="164" fontId="1" fillId="21" borderId="82" xfId="0" applyNumberFormat="1" applyFont="1" applyFill="1" applyBorder="1" applyAlignment="1">
      <alignment horizontal="center" vertical="center"/>
    </xf>
    <xf numFmtId="164" fontId="2" fillId="21" borderId="0" xfId="0" applyNumberFormat="1" applyFont="1" applyFill="1" applyAlignment="1">
      <alignment horizontal="right"/>
    </xf>
    <xf numFmtId="164" fontId="1" fillId="21" borderId="0" xfId="0" applyNumberFormat="1" applyFont="1" applyFill="1"/>
    <xf numFmtId="164" fontId="0" fillId="21" borderId="0" xfId="0" applyNumberFormat="1" applyFill="1"/>
    <xf numFmtId="164" fontId="1" fillId="21" borderId="0" xfId="0" applyNumberFormat="1" applyFont="1" applyFill="1" applyAlignment="1">
      <alignment horizontal="right"/>
    </xf>
    <xf numFmtId="164" fontId="52" fillId="21" borderId="0" xfId="0" applyNumberFormat="1" applyFont="1" applyFill="1"/>
    <xf numFmtId="1" fontId="52" fillId="21" borderId="0" xfId="0" applyNumberFormat="1" applyFont="1" applyFill="1"/>
    <xf numFmtId="164" fontId="0" fillId="21" borderId="0" xfId="0" applyNumberFormat="1" applyFill="1" applyAlignment="1">
      <alignment horizontal="left"/>
    </xf>
    <xf numFmtId="164" fontId="0" fillId="21" borderId="0" xfId="0" applyNumberFormat="1" applyFill="1" applyAlignment="1">
      <alignment vertical="center"/>
    </xf>
    <xf numFmtId="164" fontId="12" fillId="21" borderId="0" xfId="0" applyNumberFormat="1" applyFont="1" applyFill="1"/>
    <xf numFmtId="164" fontId="2" fillId="21" borderId="0" xfId="0" applyNumberFormat="1" applyFont="1" applyFill="1" applyAlignment="1">
      <alignment vertical="top" wrapText="1"/>
    </xf>
    <xf numFmtId="164" fontId="2" fillId="21" borderId="0" xfId="0" applyNumberFormat="1" applyFont="1" applyFill="1" applyAlignment="1">
      <alignment horizontal="left" vertical="top" wrapText="1"/>
    </xf>
    <xf numFmtId="164" fontId="0" fillId="21" borderId="29" xfId="0" applyNumberFormat="1" applyFill="1" applyBorder="1" applyAlignment="1">
      <alignment horizontal="left" vertical="center"/>
    </xf>
    <xf numFmtId="164" fontId="0" fillId="21" borderId="29" xfId="0" applyNumberFormat="1" applyFill="1" applyBorder="1" applyAlignment="1">
      <alignment vertical="center"/>
    </xf>
    <xf numFmtId="164" fontId="0" fillId="21" borderId="0" xfId="0" applyNumberFormat="1" applyFill="1" applyAlignment="1">
      <alignment horizontal="left" vertical="center"/>
    </xf>
    <xf numFmtId="164" fontId="1" fillId="21" borderId="0" xfId="0" applyNumberFormat="1" applyFont="1" applyFill="1" applyAlignment="1">
      <alignment horizontal="center" vertical="center"/>
    </xf>
    <xf numFmtId="1" fontId="0" fillId="0" borderId="89" xfId="0" applyNumberFormat="1" applyBorder="1" applyAlignment="1">
      <alignment horizontal="center" vertical="top"/>
    </xf>
    <xf numFmtId="1" fontId="0" fillId="0" borderId="90" xfId="0" applyNumberFormat="1" applyBorder="1" applyAlignment="1">
      <alignment horizontal="center" vertical="top"/>
    </xf>
    <xf numFmtId="1" fontId="0" fillId="0" borderId="91" xfId="0" applyNumberFormat="1" applyBorder="1" applyAlignment="1">
      <alignment horizontal="center" vertical="top"/>
    </xf>
    <xf numFmtId="1" fontId="2" fillId="0" borderId="89" xfId="0" applyNumberFormat="1" applyFont="1" applyBorder="1" applyAlignment="1">
      <alignment horizontal="center" vertical="top"/>
    </xf>
    <xf numFmtId="1" fontId="0" fillId="0" borderId="92" xfId="0" applyNumberFormat="1" applyBorder="1" applyAlignment="1">
      <alignment horizontal="center" vertical="top"/>
    </xf>
    <xf numFmtId="1" fontId="0" fillId="0" borderId="93" xfId="0" applyNumberFormat="1" applyBorder="1" applyAlignment="1">
      <alignment horizontal="center" vertical="center"/>
    </xf>
    <xf numFmtId="1" fontId="0" fillId="0" borderId="94" xfId="0" applyNumberFormat="1" applyBorder="1" applyAlignment="1">
      <alignment horizontal="center" vertical="top"/>
    </xf>
    <xf numFmtId="1" fontId="0" fillId="0" borderId="90" xfId="0" applyNumberFormat="1" applyBorder="1" applyAlignment="1">
      <alignment horizontal="center" vertical="center"/>
    </xf>
    <xf numFmtId="1" fontId="0" fillId="0" borderId="95" xfId="0" applyNumberFormat="1" applyBorder="1" applyAlignment="1">
      <alignment horizontal="center" vertical="center"/>
    </xf>
    <xf numFmtId="49" fontId="2" fillId="0" borderId="96" xfId="0" applyNumberFormat="1" applyFont="1" applyBorder="1" applyAlignment="1">
      <alignment horizontal="center" vertical="top"/>
    </xf>
    <xf numFmtId="49" fontId="2" fillId="0" borderId="97" xfId="0" applyNumberFormat="1" applyFont="1" applyBorder="1" applyAlignment="1">
      <alignment horizontal="center" vertical="center"/>
    </xf>
    <xf numFmtId="49" fontId="2" fillId="0" borderId="98" xfId="0" applyNumberFormat="1" applyFont="1" applyBorder="1" applyAlignment="1">
      <alignment horizontal="center" vertical="center"/>
    </xf>
    <xf numFmtId="49" fontId="2" fillId="0" borderId="100" xfId="0" applyNumberFormat="1" applyFont="1" applyBorder="1" applyAlignment="1">
      <alignment horizontal="center" vertical="top"/>
    </xf>
    <xf numFmtId="49" fontId="2" fillId="0" borderId="97" xfId="0" applyNumberFormat="1" applyFont="1" applyBorder="1" applyAlignment="1">
      <alignment horizontal="center" vertical="top"/>
    </xf>
    <xf numFmtId="49" fontId="2" fillId="0" borderId="101" xfId="0" applyNumberFormat="1" applyFont="1" applyBorder="1" applyAlignment="1">
      <alignment horizontal="center" vertical="top"/>
    </xf>
    <xf numFmtId="49" fontId="1" fillId="6" borderId="100" xfId="0" applyNumberFormat="1" applyFont="1" applyFill="1" applyBorder="1" applyAlignment="1">
      <alignment horizontal="center" vertical="top"/>
    </xf>
    <xf numFmtId="49" fontId="1" fillId="6" borderId="97" xfId="0" applyNumberFormat="1" applyFont="1" applyFill="1" applyBorder="1" applyAlignment="1">
      <alignment horizontal="center" vertical="top"/>
    </xf>
    <xf numFmtId="49" fontId="1" fillId="6" borderId="101" xfId="0" applyNumberFormat="1" applyFont="1" applyFill="1" applyBorder="1" applyAlignment="1">
      <alignment horizontal="center" vertical="top"/>
    </xf>
    <xf numFmtId="49" fontId="2" fillId="0" borderId="102" xfId="0" applyNumberFormat="1" applyFont="1" applyBorder="1" applyAlignment="1">
      <alignment horizontal="center" vertical="top"/>
    </xf>
    <xf numFmtId="49" fontId="1" fillId="6" borderId="102" xfId="0" applyNumberFormat="1" applyFont="1" applyFill="1" applyBorder="1" applyAlignment="1">
      <alignment horizontal="center" vertical="top"/>
    </xf>
    <xf numFmtId="49" fontId="1" fillId="6" borderId="103" xfId="0" applyNumberFormat="1" applyFont="1" applyFill="1" applyBorder="1" applyAlignment="1">
      <alignment horizontal="center" vertical="center"/>
    </xf>
    <xf numFmtId="49" fontId="2" fillId="0" borderId="104" xfId="0" applyNumberFormat="1" applyFont="1" applyBorder="1" applyAlignment="1">
      <alignment horizontal="center" vertical="center"/>
    </xf>
    <xf numFmtId="49" fontId="1" fillId="6" borderId="96" xfId="0" applyNumberFormat="1" applyFont="1" applyFill="1" applyBorder="1" applyAlignment="1">
      <alignment horizontal="center" vertical="top"/>
    </xf>
    <xf numFmtId="49" fontId="1" fillId="6" borderId="97" xfId="0" applyNumberFormat="1" applyFont="1" applyFill="1" applyBorder="1" applyAlignment="1">
      <alignment horizontal="center" vertical="center"/>
    </xf>
    <xf numFmtId="49" fontId="1" fillId="6" borderId="98" xfId="0" applyNumberFormat="1" applyFont="1" applyFill="1" applyBorder="1" applyAlignment="1">
      <alignment horizontal="center" vertical="center"/>
    </xf>
    <xf numFmtId="1" fontId="0" fillId="0" borderId="89" xfId="0" applyNumberFormat="1" applyBorder="1" applyAlignment="1">
      <alignment horizontal="center" vertical="center"/>
    </xf>
    <xf numFmtId="1" fontId="0" fillId="0" borderId="92" xfId="0" applyNumberFormat="1" applyBorder="1" applyAlignment="1">
      <alignment horizontal="center" vertical="center"/>
    </xf>
    <xf numFmtId="49" fontId="2" fillId="0" borderId="100" xfId="0" applyNumberFormat="1" applyFont="1" applyBorder="1" applyAlignment="1">
      <alignment horizontal="center" vertical="center"/>
    </xf>
    <xf numFmtId="49" fontId="2" fillId="0" borderId="102" xfId="0" applyNumberFormat="1" applyFont="1" applyBorder="1" applyAlignment="1">
      <alignment horizontal="center" vertical="center"/>
    </xf>
    <xf numFmtId="49" fontId="1" fillId="6" borderId="100" xfId="0" applyNumberFormat="1" applyFont="1" applyFill="1" applyBorder="1" applyAlignment="1">
      <alignment horizontal="center" vertical="center"/>
    </xf>
    <xf numFmtId="49" fontId="1" fillId="6" borderId="102" xfId="0" applyNumberFormat="1" applyFont="1" applyFill="1" applyBorder="1" applyAlignment="1">
      <alignment horizontal="center" vertical="center"/>
    </xf>
    <xf numFmtId="49" fontId="1" fillId="6" borderId="61" xfId="0" applyNumberFormat="1" applyFont="1" applyFill="1" applyBorder="1" applyAlignment="1">
      <alignment horizontal="center" vertical="center"/>
    </xf>
    <xf numFmtId="49" fontId="1" fillId="6" borderId="62" xfId="0" applyNumberFormat="1" applyFont="1" applyFill="1" applyBorder="1" applyAlignment="1">
      <alignment horizontal="center" vertical="center"/>
    </xf>
    <xf numFmtId="49" fontId="1" fillId="6" borderId="64" xfId="0" applyNumberFormat="1" applyFont="1" applyFill="1" applyBorder="1" applyAlignment="1">
      <alignment horizontal="center" vertical="center"/>
    </xf>
    <xf numFmtId="49" fontId="2" fillId="0" borderId="61" xfId="0" applyNumberFormat="1" applyFont="1" applyBorder="1" applyAlignment="1">
      <alignment horizontal="center" vertical="center"/>
    </xf>
    <xf numFmtId="49" fontId="2" fillId="0" borderId="62" xfId="0" applyNumberFormat="1" applyFont="1" applyBorder="1" applyAlignment="1">
      <alignment horizontal="center" vertical="center"/>
    </xf>
    <xf numFmtId="49" fontId="2" fillId="0" borderId="64" xfId="0" applyNumberFormat="1" applyFont="1" applyBorder="1" applyAlignment="1">
      <alignment horizontal="center" vertical="center"/>
    </xf>
    <xf numFmtId="1" fontId="0" fillId="0" borderId="91" xfId="0" applyNumberFormat="1" applyBorder="1" applyAlignment="1">
      <alignment horizontal="center" vertical="center"/>
    </xf>
    <xf numFmtId="1" fontId="0" fillId="0" borderId="90" xfId="0" applyNumberFormat="1" applyBorder="1" applyAlignment="1">
      <alignment horizontal="center"/>
    </xf>
    <xf numFmtId="49" fontId="2" fillId="0" borderId="97" xfId="0" applyNumberFormat="1" applyFont="1" applyBorder="1" applyAlignment="1">
      <alignment horizontal="center"/>
    </xf>
    <xf numFmtId="49" fontId="1" fillId="6" borderId="97" xfId="0" applyNumberFormat="1" applyFont="1" applyFill="1" applyBorder="1" applyAlignment="1">
      <alignment horizontal="center"/>
    </xf>
    <xf numFmtId="49" fontId="1" fillId="6" borderId="61" xfId="0" applyNumberFormat="1" applyFont="1" applyFill="1" applyBorder="1" applyAlignment="1">
      <alignment horizontal="center"/>
    </xf>
    <xf numFmtId="49" fontId="1" fillId="6" borderId="62" xfId="0" applyNumberFormat="1" applyFont="1" applyFill="1" applyBorder="1" applyAlignment="1">
      <alignment horizontal="center"/>
    </xf>
    <xf numFmtId="49" fontId="1" fillId="6" borderId="63" xfId="0" applyNumberFormat="1" applyFont="1" applyFill="1" applyBorder="1" applyAlignment="1">
      <alignment horizontal="center"/>
    </xf>
    <xf numFmtId="49" fontId="2" fillId="0" borderId="61" xfId="0" applyNumberFormat="1" applyFont="1" applyBorder="1" applyAlignment="1">
      <alignment horizontal="center"/>
    </xf>
    <xf numFmtId="49" fontId="2" fillId="0" borderId="62" xfId="0" applyNumberFormat="1" applyFont="1" applyBorder="1" applyAlignment="1">
      <alignment horizontal="center"/>
    </xf>
    <xf numFmtId="49" fontId="2" fillId="0" borderId="63" xfId="0" applyNumberFormat="1" applyFont="1" applyBorder="1" applyAlignment="1">
      <alignment horizontal="center"/>
    </xf>
    <xf numFmtId="1" fontId="0" fillId="0" borderId="89" xfId="0" applyNumberFormat="1" applyBorder="1" applyAlignment="1">
      <alignment horizontal="center"/>
    </xf>
    <xf numFmtId="1" fontId="0" fillId="0" borderId="92" xfId="0" applyNumberFormat="1" applyBorder="1" applyAlignment="1">
      <alignment horizontal="center"/>
    </xf>
    <xf numFmtId="1" fontId="0" fillId="0" borderId="91" xfId="0" applyNumberFormat="1" applyBorder="1" applyAlignment="1">
      <alignment horizontal="center"/>
    </xf>
    <xf numFmtId="49" fontId="2" fillId="0" borderId="100" xfId="0" applyNumberFormat="1" applyFont="1" applyBorder="1" applyAlignment="1">
      <alignment horizontal="center"/>
    </xf>
    <xf numFmtId="49" fontId="2" fillId="0" borderId="101" xfId="0" applyNumberFormat="1" applyFont="1" applyBorder="1" applyAlignment="1">
      <alignment horizontal="center"/>
    </xf>
    <xf numFmtId="49" fontId="1" fillId="6" borderId="100" xfId="0" applyNumberFormat="1" applyFont="1" applyFill="1" applyBorder="1" applyAlignment="1">
      <alignment horizontal="center"/>
    </xf>
    <xf numFmtId="49" fontId="1" fillId="6" borderId="101" xfId="0" applyNumberFormat="1" applyFont="1" applyFill="1" applyBorder="1" applyAlignment="1">
      <alignment horizontal="center"/>
    </xf>
    <xf numFmtId="49" fontId="1" fillId="6" borderId="64" xfId="0" applyNumberFormat="1" applyFont="1" applyFill="1" applyBorder="1" applyAlignment="1">
      <alignment horizontal="center"/>
    </xf>
    <xf numFmtId="49" fontId="2" fillId="0" borderId="64" xfId="0" applyNumberFormat="1" applyFont="1" applyBorder="1" applyAlignment="1">
      <alignment horizontal="center"/>
    </xf>
    <xf numFmtId="1" fontId="0" fillId="0" borderId="88" xfId="0" applyNumberFormat="1" applyBorder="1" applyAlignment="1">
      <alignment horizontal="center"/>
    </xf>
    <xf numFmtId="49" fontId="2" fillId="0" borderId="99" xfId="0" applyNumberFormat="1" applyFont="1" applyBorder="1" applyAlignment="1">
      <alignment horizontal="center"/>
    </xf>
    <xf numFmtId="49" fontId="1" fillId="6" borderId="99" xfId="0" applyNumberFormat="1" applyFont="1" applyFill="1" applyBorder="1" applyAlignment="1">
      <alignment horizontal="center"/>
    </xf>
    <xf numFmtId="49" fontId="1" fillId="6" borderId="61" xfId="0" applyNumberFormat="1" applyFont="1" applyFill="1" applyBorder="1" applyAlignment="1">
      <alignment horizontal="center" vertical="top"/>
    </xf>
    <xf numFmtId="49" fontId="1" fillId="6" borderId="62" xfId="0" applyNumberFormat="1" applyFont="1" applyFill="1" applyBorder="1" applyAlignment="1">
      <alignment horizontal="center" vertical="top"/>
    </xf>
    <xf numFmtId="49" fontId="1" fillId="6" borderId="63" xfId="0" applyNumberFormat="1" applyFont="1" applyFill="1" applyBorder="1" applyAlignment="1">
      <alignment horizontal="center" vertical="top"/>
    </xf>
    <xf numFmtId="49" fontId="2" fillId="0" borderId="61" xfId="0" applyNumberFormat="1" applyFont="1" applyBorder="1" applyAlignment="1">
      <alignment horizontal="center" vertical="top"/>
    </xf>
    <xf numFmtId="49" fontId="2" fillId="0" borderId="62" xfId="0" applyNumberFormat="1" applyFont="1" applyBorder="1" applyAlignment="1">
      <alignment horizontal="center" vertical="top"/>
    </xf>
    <xf numFmtId="49" fontId="2" fillId="0" borderId="63" xfId="0" applyNumberFormat="1" applyFont="1" applyBorder="1" applyAlignment="1">
      <alignment horizontal="center" vertical="top"/>
    </xf>
    <xf numFmtId="49" fontId="1" fillId="6" borderId="105" xfId="0" applyNumberFormat="1" applyFont="1" applyFill="1" applyBorder="1" applyAlignment="1">
      <alignment horizontal="center" vertical="top"/>
    </xf>
    <xf numFmtId="49" fontId="52" fillId="0" borderId="105" xfId="0" applyNumberFormat="1" applyFont="1" applyBorder="1" applyAlignment="1">
      <alignment horizontal="center" vertical="top"/>
    </xf>
    <xf numFmtId="1" fontId="0" fillId="0" borderId="88" xfId="0" applyNumberFormat="1" applyBorder="1" applyAlignment="1">
      <alignment horizontal="center" vertical="top"/>
    </xf>
    <xf numFmtId="49" fontId="1" fillId="6" borderId="64" xfId="0" applyNumberFormat="1" applyFont="1" applyFill="1" applyBorder="1" applyAlignment="1">
      <alignment horizontal="center" vertical="top"/>
    </xf>
    <xf numFmtId="49" fontId="2" fillId="0" borderId="64" xfId="0" applyNumberFormat="1" applyFont="1" applyBorder="1" applyAlignment="1">
      <alignment horizontal="center" vertical="top"/>
    </xf>
    <xf numFmtId="49" fontId="52" fillId="0" borderId="97" xfId="0" applyNumberFormat="1" applyFont="1" applyBorder="1" applyAlignment="1">
      <alignment horizontal="center" vertical="center"/>
    </xf>
    <xf numFmtId="49" fontId="0" fillId="0" borderId="101" xfId="0" applyNumberFormat="1" applyBorder="1" applyAlignment="1">
      <alignment horizontal="center" vertical="center"/>
    </xf>
    <xf numFmtId="49" fontId="1" fillId="6" borderId="101" xfId="0" applyNumberFormat="1" applyFont="1" applyFill="1" applyBorder="1" applyAlignment="1">
      <alignment horizontal="center" vertical="center"/>
    </xf>
    <xf numFmtId="49" fontId="2" fillId="0" borderId="63" xfId="0" applyNumberFormat="1" applyFont="1" applyBorder="1" applyAlignment="1">
      <alignment horizontal="center" vertical="center"/>
    </xf>
    <xf numFmtId="1" fontId="2" fillId="0" borderId="89" xfId="0" applyNumberFormat="1" applyFont="1" applyBorder="1" applyAlignment="1">
      <alignment horizontal="center" vertical="center"/>
    </xf>
    <xf numFmtId="1" fontId="2" fillId="0" borderId="90" xfId="0" applyNumberFormat="1" applyFont="1" applyBorder="1" applyAlignment="1">
      <alignment horizontal="center" vertical="center"/>
    </xf>
    <xf numFmtId="1" fontId="2" fillId="0" borderId="90" xfId="0" applyNumberFormat="1" applyFont="1" applyBorder="1" applyAlignment="1">
      <alignment horizontal="center" vertical="top"/>
    </xf>
    <xf numFmtId="1" fontId="2" fillId="0" borderId="91" xfId="0" applyNumberFormat="1" applyFont="1" applyBorder="1" applyAlignment="1">
      <alignment horizontal="center" vertical="top"/>
    </xf>
    <xf numFmtId="49" fontId="1" fillId="6" borderId="61" xfId="0" applyNumberFormat="1" applyFont="1" applyFill="1" applyBorder="1" applyAlignment="1">
      <alignment horizontal="center" vertical="top" wrapText="1"/>
    </xf>
    <xf numFmtId="49" fontId="1" fillId="6" borderId="62" xfId="0" applyNumberFormat="1" applyFont="1" applyFill="1" applyBorder="1" applyAlignment="1">
      <alignment horizontal="center" vertical="top" wrapText="1"/>
    </xf>
    <xf numFmtId="49" fontId="1" fillId="6" borderId="64" xfId="0" applyNumberFormat="1" applyFont="1" applyFill="1" applyBorder="1" applyAlignment="1">
      <alignment horizontal="center" vertical="center" wrapText="1"/>
    </xf>
    <xf numFmtId="49" fontId="2" fillId="0" borderId="61" xfId="0" applyNumberFormat="1" applyFont="1" applyBorder="1" applyAlignment="1">
      <alignment horizontal="center" vertical="top" wrapText="1"/>
    </xf>
    <xf numFmtId="49" fontId="2" fillId="0" borderId="62" xfId="0" applyNumberFormat="1" applyFont="1" applyBorder="1" applyAlignment="1">
      <alignment horizontal="center" vertical="top" wrapText="1"/>
    </xf>
    <xf numFmtId="49" fontId="2" fillId="0" borderId="64" xfId="0" applyNumberFormat="1" applyFont="1" applyBorder="1" applyAlignment="1">
      <alignment horizontal="center" vertical="center" wrapText="1"/>
    </xf>
    <xf numFmtId="1" fontId="2" fillId="0" borderId="89" xfId="0" applyNumberFormat="1" applyFont="1" applyBorder="1" applyAlignment="1">
      <alignment horizontal="center" vertical="top" wrapText="1"/>
    </xf>
    <xf numFmtId="1" fontId="2" fillId="0" borderId="90" xfId="0" applyNumberFormat="1" applyFont="1" applyBorder="1" applyAlignment="1">
      <alignment horizontal="center" vertical="top" wrapText="1"/>
    </xf>
    <xf numFmtId="1" fontId="2" fillId="0" borderId="91" xfId="0" applyNumberFormat="1" applyFont="1" applyBorder="1" applyAlignment="1">
      <alignment horizontal="center" vertical="center" wrapText="1"/>
    </xf>
    <xf numFmtId="1" fontId="2" fillId="0" borderId="91" xfId="0" applyNumberFormat="1" applyFont="1" applyBorder="1" applyAlignment="1">
      <alignment horizontal="center" vertical="center"/>
    </xf>
    <xf numFmtId="1" fontId="2" fillId="0" borderId="89" xfId="0" applyNumberFormat="1" applyFont="1" applyBorder="1" applyAlignment="1">
      <alignment horizontal="center"/>
    </xf>
    <xf numFmtId="1" fontId="2" fillId="0" borderId="90" xfId="0" applyNumberFormat="1" applyFont="1" applyBorder="1" applyAlignment="1">
      <alignment horizontal="center"/>
    </xf>
    <xf numFmtId="1" fontId="2" fillId="0" borderId="92" xfId="0" applyNumberFormat="1" applyFont="1" applyBorder="1" applyAlignment="1">
      <alignment horizontal="center"/>
    </xf>
    <xf numFmtId="1" fontId="2" fillId="0" borderId="91" xfId="0" applyNumberFormat="1" applyFont="1" applyBorder="1" applyAlignment="1">
      <alignment horizontal="center"/>
    </xf>
    <xf numFmtId="49" fontId="1" fillId="6" borderId="63" xfId="0" applyNumberFormat="1" applyFont="1" applyFill="1" applyBorder="1" applyAlignment="1">
      <alignment horizontal="center" vertical="center"/>
    </xf>
    <xf numFmtId="1" fontId="2" fillId="0" borderId="92" xfId="0" applyNumberFormat="1" applyFont="1" applyBorder="1" applyAlignment="1">
      <alignment horizontal="center" vertical="center"/>
    </xf>
    <xf numFmtId="49" fontId="1" fillId="6" borderId="106" xfId="0" applyNumberFormat="1" applyFont="1" applyFill="1" applyBorder="1" applyAlignment="1">
      <alignment horizontal="center" vertical="top"/>
    </xf>
    <xf numFmtId="49" fontId="1" fillId="6" borderId="107" xfId="0" applyNumberFormat="1" applyFont="1" applyFill="1" applyBorder="1" applyAlignment="1">
      <alignment horizontal="center" vertical="top"/>
    </xf>
    <xf numFmtId="49" fontId="2" fillId="0" borderId="106" xfId="0" applyNumberFormat="1" applyFont="1" applyBorder="1" applyAlignment="1">
      <alignment horizontal="center" vertical="top"/>
    </xf>
    <xf numFmtId="49" fontId="2" fillId="0" borderId="107" xfId="0" applyNumberFormat="1" applyFont="1" applyBorder="1" applyAlignment="1">
      <alignment horizontal="center" vertical="top"/>
    </xf>
    <xf numFmtId="1" fontId="0" fillId="0" borderId="95" xfId="0" applyNumberFormat="1" applyBorder="1" applyAlignment="1">
      <alignment horizontal="center" vertical="top"/>
    </xf>
    <xf numFmtId="49" fontId="2" fillId="0" borderId="98" xfId="0" applyNumberFormat="1" applyFont="1" applyBorder="1" applyAlignment="1">
      <alignment horizontal="center" vertical="top"/>
    </xf>
    <xf numFmtId="49" fontId="1" fillId="6" borderId="98" xfId="0" applyNumberFormat="1" applyFont="1" applyFill="1" applyBorder="1" applyAlignment="1">
      <alignment horizontal="center" vertical="top"/>
    </xf>
    <xf numFmtId="1" fontId="0" fillId="0" borderId="89" xfId="0" applyNumberFormat="1" applyBorder="1" applyAlignment="1">
      <alignment horizontal="center" vertical="top" wrapText="1"/>
    </xf>
    <xf numFmtId="1" fontId="0" fillId="0" borderId="90" xfId="0" applyNumberFormat="1" applyBorder="1" applyAlignment="1">
      <alignment horizontal="center" vertical="top" wrapText="1"/>
    </xf>
    <xf numFmtId="49" fontId="1" fillId="6" borderId="63" xfId="0" applyNumberFormat="1" applyFont="1" applyFill="1" applyBorder="1" applyAlignment="1">
      <alignment horizontal="center" vertical="top" wrapText="1"/>
    </xf>
    <xf numFmtId="49" fontId="52" fillId="0" borderId="61" xfId="0" applyNumberFormat="1" applyFont="1" applyBorder="1" applyAlignment="1">
      <alignment horizontal="center" vertical="top"/>
    </xf>
    <xf numFmtId="49" fontId="52" fillId="0" borderId="62" xfId="0" applyNumberFormat="1" applyFont="1" applyBorder="1" applyAlignment="1">
      <alignment horizontal="center" vertical="top"/>
    </xf>
    <xf numFmtId="49" fontId="52" fillId="0" borderId="62" xfId="0" applyNumberFormat="1" applyFont="1" applyBorder="1" applyAlignment="1">
      <alignment horizontal="center" vertical="center"/>
    </xf>
    <xf numFmtId="49" fontId="52" fillId="0" borderId="63" xfId="0" applyNumberFormat="1" applyFont="1" applyBorder="1" applyAlignment="1">
      <alignment horizontal="center" vertical="top"/>
    </xf>
    <xf numFmtId="49" fontId="52" fillId="0" borderId="61" xfId="0" applyNumberFormat="1" applyFont="1" applyBorder="1" applyAlignment="1">
      <alignment horizontal="center" vertical="center"/>
    </xf>
    <xf numFmtId="49" fontId="52" fillId="0" borderId="64" xfId="0" applyNumberFormat="1" applyFont="1" applyBorder="1" applyAlignment="1">
      <alignment horizontal="center" vertical="top"/>
    </xf>
    <xf numFmtId="49" fontId="52" fillId="0" borderId="64" xfId="0" applyNumberFormat="1" applyFont="1" applyBorder="1" applyAlignment="1">
      <alignment horizontal="center" vertical="center"/>
    </xf>
    <xf numFmtId="164" fontId="3" fillId="18" borderId="38" xfId="0" applyNumberFormat="1" applyFont="1" applyFill="1" applyBorder="1" applyAlignment="1">
      <alignment horizontal="left"/>
    </xf>
    <xf numFmtId="164" fontId="2" fillId="18" borderId="2" xfId="0" applyNumberFormat="1" applyFont="1" applyFill="1" applyBorder="1"/>
    <xf numFmtId="164" fontId="0" fillId="18" borderId="2" xfId="0" applyNumberFormat="1" applyFill="1" applyBorder="1" applyAlignment="1">
      <alignment vertical="center"/>
    </xf>
    <xf numFmtId="164" fontId="3" fillId="14" borderId="38" xfId="0" applyNumberFormat="1" applyFont="1" applyFill="1" applyBorder="1" applyAlignment="1">
      <alignment horizontal="left" vertical="center" wrapText="1"/>
    </xf>
    <xf numFmtId="164" fontId="2" fillId="14" borderId="2" xfId="0" applyNumberFormat="1" applyFont="1" applyFill="1" applyBorder="1" applyAlignment="1">
      <alignment vertical="top" wrapText="1"/>
    </xf>
    <xf numFmtId="164" fontId="2" fillId="0" borderId="0" xfId="0" applyNumberFormat="1" applyFont="1" applyAlignment="1">
      <alignment vertical="top"/>
    </xf>
    <xf numFmtId="164" fontId="2" fillId="0" borderId="30" xfId="0" applyNumberFormat="1" applyFont="1" applyBorder="1" applyAlignment="1">
      <alignment vertical="top"/>
    </xf>
    <xf numFmtId="164" fontId="1" fillId="21" borderId="78" xfId="0" applyNumberFormat="1" applyFont="1" applyFill="1" applyBorder="1" applyAlignment="1">
      <alignment horizontal="center" vertical="center"/>
    </xf>
    <xf numFmtId="0" fontId="70" fillId="0" borderId="0" xfId="0" applyFont="1" applyAlignment="1">
      <alignment vertical="center"/>
    </xf>
    <xf numFmtId="1" fontId="52" fillId="21" borderId="0" xfId="0" applyNumberFormat="1" applyFont="1" applyFill="1" applyAlignment="1">
      <alignment horizontal="left"/>
    </xf>
    <xf numFmtId="164" fontId="2" fillId="16" borderId="6" xfId="0" applyNumberFormat="1" applyFont="1" applyFill="1" applyBorder="1" applyAlignment="1">
      <alignment horizontal="left" vertical="center"/>
    </xf>
    <xf numFmtId="164" fontId="2" fillId="16" borderId="38" xfId="0" applyNumberFormat="1" applyFont="1" applyFill="1" applyBorder="1" applyAlignment="1">
      <alignment horizontal="left" vertical="center"/>
    </xf>
    <xf numFmtId="164" fontId="2" fillId="17" borderId="58" xfId="0" applyNumberFormat="1" applyFont="1" applyFill="1" applyBorder="1" applyAlignment="1">
      <alignment horizontal="left" vertical="center"/>
    </xf>
    <xf numFmtId="164" fontId="2" fillId="17" borderId="54" xfId="0" applyNumberFormat="1" applyFont="1" applyFill="1" applyBorder="1" applyAlignment="1">
      <alignment horizontal="left" vertical="center"/>
    </xf>
    <xf numFmtId="0" fontId="52" fillId="9" borderId="0" xfId="0" applyFont="1" applyFill="1" applyAlignment="1">
      <alignment vertical="top"/>
    </xf>
    <xf numFmtId="0" fontId="52" fillId="9" borderId="0" xfId="0" quotePrefix="1" applyFont="1" applyFill="1" applyAlignment="1">
      <alignment vertical="top"/>
    </xf>
    <xf numFmtId="0" fontId="0" fillId="9" borderId="0" xfId="0" applyFill="1" applyAlignment="1">
      <alignment vertical="top"/>
    </xf>
    <xf numFmtId="2" fontId="9" fillId="0" borderId="0" xfId="0" applyNumberFormat="1" applyFont="1" applyAlignment="1">
      <alignment horizontal="left" vertical="center" wrapText="1"/>
    </xf>
    <xf numFmtId="2" fontId="19" fillId="0" borderId="0" xfId="0" applyNumberFormat="1" applyFont="1" applyAlignment="1">
      <alignment horizontal="left" vertical="center"/>
    </xf>
    <xf numFmtId="2" fontId="7" fillId="0" borderId="0" xfId="0" applyNumberFormat="1" applyFont="1" applyAlignment="1">
      <alignment horizontal="left" vertical="center" wrapText="1"/>
    </xf>
    <xf numFmtId="2" fontId="2" fillId="0" borderId="0" xfId="0" applyNumberFormat="1" applyFont="1" applyAlignment="1">
      <alignment vertical="center"/>
    </xf>
    <xf numFmtId="2" fontId="2" fillId="0" borderId="0" xfId="0" applyNumberFormat="1" applyFont="1" applyAlignment="1">
      <alignment vertical="center" wrapText="1"/>
    </xf>
    <xf numFmtId="0" fontId="0" fillId="0" borderId="0" xfId="0" applyAlignment="1">
      <alignment vertical="center"/>
    </xf>
    <xf numFmtId="0" fontId="59" fillId="0" borderId="0" xfId="0" applyFont="1" applyAlignment="1">
      <alignment vertical="center"/>
    </xf>
    <xf numFmtId="0" fontId="59" fillId="0" borderId="0" xfId="0" applyFont="1" applyAlignment="1">
      <alignment horizontal="center" vertical="top"/>
    </xf>
    <xf numFmtId="164" fontId="0" fillId="0" borderId="0" xfId="0" applyNumberFormat="1" applyAlignment="1">
      <alignment horizontal="left" vertical="center" wrapText="1"/>
    </xf>
    <xf numFmtId="0" fontId="0" fillId="0" borderId="15" xfId="0" applyBorder="1" applyAlignment="1">
      <alignment vertical="top"/>
    </xf>
    <xf numFmtId="0" fontId="2" fillId="7" borderId="0" xfId="0" applyFont="1" applyFill="1" applyAlignment="1">
      <alignment vertical="top"/>
    </xf>
    <xf numFmtId="0" fontId="59" fillId="0" borderId="0" xfId="0" applyFont="1" applyAlignment="1">
      <alignment vertical="top"/>
    </xf>
    <xf numFmtId="2" fontId="0" fillId="0" borderId="0" xfId="0" applyNumberFormat="1" applyAlignment="1">
      <alignment vertical="top"/>
    </xf>
    <xf numFmtId="1" fontId="1" fillId="12" borderId="6" xfId="0" quotePrefix="1" applyNumberFormat="1" applyFont="1" applyFill="1" applyBorder="1" applyAlignment="1">
      <alignment horizontal="left" vertical="center"/>
    </xf>
    <xf numFmtId="1" fontId="0" fillId="12" borderId="38" xfId="0" applyNumberFormat="1" applyFill="1" applyBorder="1" applyAlignment="1">
      <alignment horizontal="left" vertical="center"/>
    </xf>
    <xf numFmtId="1" fontId="1" fillId="12" borderId="53" xfId="0" applyNumberFormat="1" applyFont="1" applyFill="1" applyBorder="1" applyAlignment="1">
      <alignment horizontal="left" vertical="center"/>
    </xf>
    <xf numFmtId="1" fontId="0" fillId="12" borderId="27" xfId="0" applyNumberFormat="1" applyFill="1" applyBorder="1" applyAlignment="1">
      <alignment horizontal="left" vertical="center"/>
    </xf>
    <xf numFmtId="1" fontId="1" fillId="18" borderId="5" xfId="0" applyNumberFormat="1" applyFont="1" applyFill="1" applyBorder="1" applyAlignment="1">
      <alignment horizontal="left" vertical="center"/>
    </xf>
    <xf numFmtId="1" fontId="1" fillId="18" borderId="33" xfId="0" applyNumberFormat="1" applyFont="1" applyFill="1" applyBorder="1" applyAlignment="1">
      <alignment horizontal="left" vertical="center"/>
    </xf>
    <xf numFmtId="164" fontId="40" fillId="3" borderId="33" xfId="0" applyNumberFormat="1" applyFont="1" applyFill="1" applyBorder="1" applyAlignment="1">
      <alignment horizontal="right" vertical="center"/>
    </xf>
    <xf numFmtId="164" fontId="40" fillId="3" borderId="1" xfId="0" applyNumberFormat="1" applyFont="1" applyFill="1" applyBorder="1" applyAlignment="1">
      <alignment horizontal="center" vertical="center"/>
    </xf>
    <xf numFmtId="164" fontId="2" fillId="18" borderId="6" xfId="0" applyNumberFormat="1" applyFont="1" applyFill="1" applyBorder="1" applyAlignment="1">
      <alignment horizontal="left" vertical="center"/>
    </xf>
    <xf numFmtId="164" fontId="2" fillId="18" borderId="38" xfId="0" applyNumberFormat="1" applyFont="1" applyFill="1" applyBorder="1" applyAlignment="1">
      <alignment horizontal="left" vertical="center"/>
    </xf>
    <xf numFmtId="164" fontId="40" fillId="3" borderId="38" xfId="0" applyNumberFormat="1" applyFont="1" applyFill="1" applyBorder="1" applyAlignment="1">
      <alignment vertical="center"/>
    </xf>
    <xf numFmtId="1" fontId="2" fillId="12" borderId="38" xfId="0" applyNumberFormat="1" applyFont="1" applyFill="1" applyBorder="1" applyAlignment="1">
      <alignment horizontal="left" vertical="center"/>
    </xf>
    <xf numFmtId="164" fontId="48" fillId="3" borderId="38" xfId="0" applyNumberFormat="1" applyFont="1" applyFill="1" applyBorder="1" applyAlignment="1">
      <alignment vertical="center"/>
    </xf>
    <xf numFmtId="1" fontId="2" fillId="12" borderId="6" xfId="0" applyNumberFormat="1" applyFont="1" applyFill="1" applyBorder="1" applyAlignment="1">
      <alignment horizontal="left" vertical="center"/>
    </xf>
    <xf numFmtId="49" fontId="2" fillId="12" borderId="38" xfId="0" applyNumberFormat="1" applyFont="1" applyFill="1" applyBorder="1" applyAlignment="1">
      <alignment horizontal="left" vertical="center"/>
    </xf>
    <xf numFmtId="164" fontId="1" fillId="12" borderId="33" xfId="0" applyNumberFormat="1" applyFont="1" applyFill="1" applyBorder="1" applyAlignment="1">
      <alignment vertical="center"/>
    </xf>
    <xf numFmtId="1" fontId="0" fillId="12" borderId="6" xfId="0" applyNumberFormat="1" applyFill="1" applyBorder="1" applyAlignment="1">
      <alignment horizontal="left" vertical="center"/>
    </xf>
    <xf numFmtId="164" fontId="3" fillId="11" borderId="33" xfId="0" applyNumberFormat="1" applyFont="1" applyFill="1" applyBorder="1" applyAlignment="1">
      <alignment vertical="center"/>
    </xf>
    <xf numFmtId="164" fontId="1" fillId="16" borderId="6" xfId="0" applyNumberFormat="1" applyFont="1" applyFill="1" applyBorder="1" applyAlignment="1">
      <alignment horizontal="left" vertical="center"/>
    </xf>
    <xf numFmtId="164" fontId="17" fillId="16" borderId="38" xfId="0" applyNumberFormat="1" applyFont="1" applyFill="1" applyBorder="1" applyAlignment="1">
      <alignment horizontal="left" vertical="center"/>
    </xf>
    <xf numFmtId="164" fontId="17" fillId="16" borderId="38" xfId="0" applyNumberFormat="1" applyFont="1" applyFill="1" applyBorder="1" applyAlignment="1">
      <alignment vertical="center"/>
    </xf>
    <xf numFmtId="164" fontId="50" fillId="17" borderId="58" xfId="0" applyNumberFormat="1" applyFont="1" applyFill="1" applyBorder="1" applyAlignment="1">
      <alignment horizontal="left" vertical="center"/>
    </xf>
    <xf numFmtId="164" fontId="1" fillId="17" borderId="54" xfId="0" applyNumberFormat="1" applyFont="1" applyFill="1" applyBorder="1" applyAlignment="1">
      <alignment horizontal="left" vertical="center"/>
    </xf>
    <xf numFmtId="164" fontId="2" fillId="17" borderId="57" xfId="0" applyNumberFormat="1" applyFont="1" applyFill="1" applyBorder="1" applyAlignment="1">
      <alignment horizontal="left" vertical="center"/>
    </xf>
    <xf numFmtId="164" fontId="2" fillId="17" borderId="55" xfId="0" applyNumberFormat="1" applyFont="1" applyFill="1" applyBorder="1" applyAlignment="1">
      <alignment horizontal="left" vertical="center"/>
    </xf>
    <xf numFmtId="164" fontId="0" fillId="17" borderId="55" xfId="0" applyNumberFormat="1" applyFill="1" applyBorder="1" applyAlignment="1">
      <alignment vertical="center"/>
    </xf>
    <xf numFmtId="164" fontId="0" fillId="17" borderId="56" xfId="0" applyNumberFormat="1" applyFill="1" applyBorder="1" applyAlignment="1">
      <alignment vertical="center"/>
    </xf>
    <xf numFmtId="1" fontId="1" fillId="16" borderId="5" xfId="0" applyNumberFormat="1" applyFont="1" applyFill="1" applyBorder="1" applyAlignment="1">
      <alignment horizontal="left" vertical="center"/>
    </xf>
    <xf numFmtId="1" fontId="18" fillId="16" borderId="33" xfId="0" applyNumberFormat="1" applyFont="1" applyFill="1" applyBorder="1" applyAlignment="1">
      <alignment horizontal="left" vertical="center"/>
    </xf>
    <xf numFmtId="164" fontId="1" fillId="16" borderId="33" xfId="0" applyNumberFormat="1" applyFont="1" applyFill="1" applyBorder="1" applyAlignment="1">
      <alignment vertical="center"/>
    </xf>
    <xf numFmtId="1" fontId="1" fillId="18" borderId="53" xfId="0" applyNumberFormat="1" applyFont="1" applyFill="1" applyBorder="1" applyAlignment="1">
      <alignment horizontal="left" vertical="center"/>
    </xf>
    <xf numFmtId="1" fontId="1" fillId="18" borderId="27" xfId="0" applyNumberFormat="1" applyFont="1" applyFill="1" applyBorder="1" applyAlignment="1">
      <alignment horizontal="left" vertical="center"/>
    </xf>
    <xf numFmtId="1" fontId="0" fillId="0" borderId="91" xfId="0" applyNumberFormat="1" applyBorder="1" applyAlignment="1">
      <alignment horizontal="center" vertical="center" wrapText="1"/>
    </xf>
    <xf numFmtId="164" fontId="0" fillId="0" borderId="27" xfId="0" applyNumberFormat="1" applyBorder="1" applyAlignment="1">
      <alignment horizontal="center" vertical="center" wrapText="1"/>
    </xf>
    <xf numFmtId="164" fontId="0" fillId="0" borderId="52" xfId="0" applyNumberFormat="1" applyBorder="1" applyAlignment="1">
      <alignment vertical="center"/>
    </xf>
    <xf numFmtId="1" fontId="0" fillId="18" borderId="27" xfId="0" applyNumberFormat="1" applyFill="1" applyBorder="1" applyAlignment="1">
      <alignment horizontal="center" vertical="center"/>
    </xf>
    <xf numFmtId="1" fontId="52" fillId="18" borderId="6" xfId="0" applyNumberFormat="1" applyFont="1" applyFill="1" applyBorder="1" applyAlignment="1">
      <alignment horizontal="left" vertical="center"/>
    </xf>
    <xf numFmtId="1" fontId="52" fillId="18" borderId="38" xfId="0" applyNumberFormat="1" applyFont="1" applyFill="1" applyBorder="1" applyAlignment="1">
      <alignment horizontal="left" vertical="center"/>
    </xf>
    <xf numFmtId="0" fontId="3" fillId="0" borderId="0" xfId="0" applyFont="1" applyAlignment="1">
      <alignment vertical="top"/>
    </xf>
    <xf numFmtId="0" fontId="56" fillId="0" borderId="0" xfId="0" applyFont="1" applyAlignment="1">
      <alignment horizontal="center" vertical="top"/>
    </xf>
    <xf numFmtId="0" fontId="1" fillId="0" borderId="0" xfId="0" applyFont="1" applyAlignment="1">
      <alignment horizontal="center" vertical="top"/>
    </xf>
    <xf numFmtId="2" fontId="0" fillId="0" borderId="27" xfId="0" applyNumberFormat="1" applyBorder="1" applyAlignment="1">
      <alignment horizontal="center" vertical="top"/>
    </xf>
    <xf numFmtId="0" fontId="2" fillId="0" borderId="27" xfId="0" applyFont="1" applyBorder="1" applyAlignment="1">
      <alignment vertical="top" wrapText="1"/>
    </xf>
    <xf numFmtId="164" fontId="48" fillId="21" borderId="15" xfId="0" applyNumberFormat="1" applyFont="1" applyFill="1" applyBorder="1" applyAlignment="1">
      <alignment horizontal="left" vertical="center"/>
    </xf>
    <xf numFmtId="164" fontId="48" fillId="21" borderId="0" xfId="0" applyNumberFormat="1" applyFont="1" applyFill="1" applyAlignment="1">
      <alignment horizontal="left" vertical="center"/>
    </xf>
    <xf numFmtId="164" fontId="48" fillId="21" borderId="0" xfId="0" applyNumberFormat="1" applyFont="1" applyFill="1" applyAlignment="1">
      <alignment vertical="center"/>
    </xf>
    <xf numFmtId="3" fontId="0" fillId="0" borderId="0" xfId="0" applyNumberFormat="1" applyAlignment="1">
      <alignment vertical="top"/>
    </xf>
    <xf numFmtId="2" fontId="0" fillId="15" borderId="0" xfId="0" applyNumberFormat="1" applyFill="1" applyAlignment="1">
      <alignment horizontal="center" vertical="top"/>
    </xf>
    <xf numFmtId="2" fontId="2" fillId="0" borderId="27" xfId="0" applyNumberFormat="1" applyFont="1" applyBorder="1" applyAlignment="1">
      <alignment horizontal="center" vertical="top"/>
    </xf>
    <xf numFmtId="164" fontId="40" fillId="6" borderId="38" xfId="0" applyNumberFormat="1" applyFont="1" applyFill="1" applyBorder="1" applyAlignment="1">
      <alignment horizontal="right"/>
    </xf>
    <xf numFmtId="0" fontId="1" fillId="8" borderId="0" xfId="0" applyFont="1" applyFill="1" applyAlignment="1">
      <alignment horizontal="left" vertical="top"/>
    </xf>
    <xf numFmtId="1" fontId="1" fillId="8" borderId="0" xfId="0" applyNumberFormat="1" applyFont="1" applyFill="1" applyAlignment="1">
      <alignment horizontal="left" vertical="top"/>
    </xf>
    <xf numFmtId="0" fontId="1" fillId="15" borderId="0" xfId="0" applyFont="1" applyFill="1" applyAlignment="1">
      <alignment horizontal="left" vertical="top"/>
    </xf>
    <xf numFmtId="0" fontId="0" fillId="15" borderId="0" xfId="0" applyFill="1" applyAlignment="1">
      <alignment vertical="top"/>
    </xf>
    <xf numFmtId="0" fontId="0" fillId="11" borderId="0" xfId="0" applyFill="1" applyAlignment="1">
      <alignment vertical="top"/>
    </xf>
    <xf numFmtId="2" fontId="0" fillId="11" borderId="0" xfId="0" applyNumberFormat="1" applyFill="1" applyAlignment="1">
      <alignment horizontal="center" vertical="top"/>
    </xf>
    <xf numFmtId="0" fontId="52" fillId="0" borderId="0" xfId="0" quotePrefix="1" applyFont="1" applyAlignment="1">
      <alignment vertical="top"/>
    </xf>
    <xf numFmtId="0" fontId="1" fillId="9" borderId="0" xfId="0" applyFont="1" applyFill="1" applyAlignment="1">
      <alignment horizontal="left" vertical="top"/>
    </xf>
    <xf numFmtId="2" fontId="0" fillId="9" borderId="0" xfId="0" applyNumberFormat="1" applyFill="1" applyAlignment="1">
      <alignment horizontal="center" vertical="top"/>
    </xf>
    <xf numFmtId="0" fontId="2" fillId="0" borderId="33" xfId="0" applyFont="1" applyBorder="1" applyAlignment="1">
      <alignment vertical="top" wrapText="1"/>
    </xf>
    <xf numFmtId="2" fontId="0" fillId="0" borderId="33" xfId="0" applyNumberFormat="1" applyBorder="1" applyAlignment="1">
      <alignment horizontal="center" vertical="top"/>
    </xf>
    <xf numFmtId="0" fontId="2" fillId="0" borderId="33" xfId="0" applyFont="1" applyBorder="1" applyAlignment="1">
      <alignment horizontal="left" vertical="top" wrapText="1"/>
    </xf>
    <xf numFmtId="0" fontId="2" fillId="0" borderId="33" xfId="0" applyFont="1" applyBorder="1" applyAlignment="1">
      <alignment horizontal="center" vertical="top" wrapText="1"/>
    </xf>
    <xf numFmtId="0" fontId="2" fillId="0" borderId="38" xfId="0" applyFont="1" applyBorder="1" applyAlignment="1">
      <alignment vertical="top" wrapText="1"/>
    </xf>
    <xf numFmtId="2" fontId="0" fillId="0" borderId="38" xfId="0" applyNumberFormat="1" applyBorder="1" applyAlignment="1">
      <alignment horizontal="center" vertical="top"/>
    </xf>
    <xf numFmtId="2" fontId="0" fillId="11" borderId="0" xfId="0" applyNumberFormat="1" applyFill="1" applyAlignment="1">
      <alignment vertical="top"/>
    </xf>
    <xf numFmtId="164" fontId="40" fillId="3" borderId="38" xfId="0" applyNumberFormat="1" applyFont="1" applyFill="1" applyBorder="1" applyAlignment="1">
      <alignment horizontal="center"/>
    </xf>
    <xf numFmtId="2" fontId="44" fillId="3" borderId="50" xfId="0" applyNumberFormat="1" applyFont="1" applyFill="1" applyBorder="1" applyAlignment="1">
      <alignment horizontal="center"/>
    </xf>
    <xf numFmtId="164" fontId="44" fillId="6" borderId="38" xfId="0" applyNumberFormat="1" applyFont="1" applyFill="1" applyBorder="1"/>
    <xf numFmtId="2" fontId="59" fillId="0" borderId="0" xfId="0" applyNumberFormat="1" applyFont="1" applyAlignment="1">
      <alignment vertical="top"/>
    </xf>
    <xf numFmtId="164" fontId="1" fillId="0" borderId="78" xfId="0" applyNumberFormat="1" applyFont="1" applyBorder="1" applyAlignment="1">
      <alignment horizontal="center" vertical="center"/>
    </xf>
    <xf numFmtId="164" fontId="1" fillId="0" borderId="16" xfId="0" applyNumberFormat="1" applyFont="1" applyBorder="1" applyAlignment="1">
      <alignment horizontal="center" vertical="center"/>
    </xf>
    <xf numFmtId="164" fontId="1" fillId="0" borderId="75" xfId="0" applyNumberFormat="1" applyFont="1" applyBorder="1" applyAlignment="1">
      <alignment horizontal="center" vertical="center"/>
    </xf>
    <xf numFmtId="164" fontId="40" fillId="3" borderId="33" xfId="0" applyNumberFormat="1" applyFont="1" applyFill="1" applyBorder="1" applyAlignment="1">
      <alignment horizontal="center"/>
    </xf>
    <xf numFmtId="2" fontId="44" fillId="3" borderId="45" xfId="0" applyNumberFormat="1" applyFont="1" applyFill="1" applyBorder="1" applyAlignment="1">
      <alignment horizontal="center"/>
    </xf>
    <xf numFmtId="164" fontId="44" fillId="3" borderId="44" xfId="0" applyNumberFormat="1" applyFont="1" applyFill="1" applyBorder="1"/>
    <xf numFmtId="164" fontId="49" fillId="0" borderId="30" xfId="0" applyNumberFormat="1" applyFont="1" applyBorder="1" applyAlignment="1">
      <alignment vertical="center"/>
    </xf>
    <xf numFmtId="0" fontId="20" fillId="0" borderId="110" xfId="0" applyFont="1" applyBorder="1" applyAlignment="1">
      <alignment wrapText="1"/>
    </xf>
    <xf numFmtId="0" fontId="20" fillId="0" borderId="110" xfId="0" applyFont="1" applyBorder="1" applyAlignment="1">
      <alignment vertical="top" wrapText="1"/>
    </xf>
    <xf numFmtId="0" fontId="23" fillId="0" borderId="110" xfId="0" applyFont="1" applyBorder="1" applyAlignment="1">
      <alignment vertical="top" wrapText="1"/>
    </xf>
    <xf numFmtId="0" fontId="38" fillId="0" borderId="110" xfId="0" applyFont="1" applyBorder="1" applyAlignment="1">
      <alignment wrapText="1"/>
    </xf>
    <xf numFmtId="0" fontId="20" fillId="0" borderId="110" xfId="0" applyFont="1" applyBorder="1" applyAlignment="1">
      <alignment horizontal="left" vertical="top" wrapText="1"/>
    </xf>
    <xf numFmtId="0" fontId="20" fillId="0" borderId="111" xfId="0" applyFont="1" applyBorder="1" applyAlignment="1">
      <alignment horizontal="left" vertical="top" wrapText="1"/>
    </xf>
    <xf numFmtId="0" fontId="2" fillId="0" borderId="33" xfId="0" applyFont="1" applyBorder="1" applyAlignment="1">
      <alignment vertical="top"/>
    </xf>
    <xf numFmtId="2" fontId="2" fillId="0" borderId="33" xfId="0" applyNumberFormat="1" applyFont="1" applyBorder="1" applyAlignment="1">
      <alignment horizontal="center" vertical="top"/>
    </xf>
    <xf numFmtId="0" fontId="2" fillId="0" borderId="38" xfId="0" applyFont="1" applyBorder="1" applyAlignment="1">
      <alignment wrapText="1"/>
    </xf>
    <xf numFmtId="0" fontId="0" fillId="8" borderId="0" xfId="0" applyFill="1" applyAlignment="1">
      <alignment vertical="top"/>
    </xf>
    <xf numFmtId="2" fontId="0" fillId="8" borderId="0" xfId="0" applyNumberFormat="1" applyFill="1" applyAlignment="1">
      <alignment horizontal="center" vertical="top"/>
    </xf>
    <xf numFmtId="0" fontId="2" fillId="9" borderId="0" xfId="0" applyFont="1" applyFill="1" applyAlignment="1">
      <alignment vertical="top"/>
    </xf>
    <xf numFmtId="2" fontId="52" fillId="9" borderId="0" xfId="0" applyNumberFormat="1" applyFont="1" applyFill="1" applyAlignment="1">
      <alignment horizontal="center" vertical="top"/>
    </xf>
    <xf numFmtId="0" fontId="1" fillId="27" borderId="0" xfId="0" applyFont="1" applyFill="1" applyAlignment="1">
      <alignment horizontal="left" vertical="top"/>
    </xf>
    <xf numFmtId="0" fontId="0" fillId="27" borderId="0" xfId="0" applyFill="1" applyAlignment="1">
      <alignment vertical="top"/>
    </xf>
    <xf numFmtId="2" fontId="0" fillId="27" borderId="0" xfId="0" applyNumberFormat="1" applyFill="1" applyAlignment="1">
      <alignment horizontal="center" vertical="top"/>
    </xf>
    <xf numFmtId="0" fontId="2" fillId="27" borderId="0" xfId="0" applyFont="1" applyFill="1" applyAlignment="1">
      <alignment vertical="top" wrapText="1"/>
    </xf>
    <xf numFmtId="0" fontId="21" fillId="0" borderId="110" xfId="0" applyFont="1" applyBorder="1" applyAlignment="1">
      <alignment horizontal="left" vertical="top" wrapText="1"/>
    </xf>
    <xf numFmtId="2" fontId="7" fillId="5" borderId="0" xfId="0" applyNumberFormat="1" applyFont="1" applyFill="1" applyAlignment="1">
      <alignment horizontal="center" vertical="top"/>
    </xf>
    <xf numFmtId="0" fontId="10" fillId="5" borderId="0" xfId="0" applyFont="1" applyFill="1" applyAlignment="1">
      <alignment vertical="top"/>
    </xf>
    <xf numFmtId="0" fontId="1" fillId="3" borderId="0" xfId="0" applyFont="1" applyFill="1" applyAlignment="1">
      <alignment horizontal="left" vertical="top"/>
    </xf>
    <xf numFmtId="0" fontId="0" fillId="3" borderId="0" xfId="0" applyFill="1" applyAlignment="1">
      <alignment vertical="top"/>
    </xf>
    <xf numFmtId="2" fontId="0" fillId="3" borderId="0" xfId="0" applyNumberFormat="1" applyFill="1" applyAlignment="1">
      <alignment horizontal="center" vertical="top"/>
    </xf>
    <xf numFmtId="0" fontId="10" fillId="3" borderId="0" xfId="0" applyFont="1" applyFill="1" applyAlignment="1">
      <alignment vertical="top"/>
    </xf>
    <xf numFmtId="0" fontId="9" fillId="3" borderId="0" xfId="0" applyFont="1" applyFill="1" applyAlignment="1">
      <alignment vertical="top"/>
    </xf>
    <xf numFmtId="0" fontId="0" fillId="6" borderId="0" xfId="0" applyFill="1" applyAlignment="1">
      <alignment vertical="top"/>
    </xf>
    <xf numFmtId="0" fontId="1" fillId="6" borderId="0" xfId="0" applyFont="1" applyFill="1" applyAlignment="1">
      <alignment horizontal="left" vertical="top"/>
    </xf>
    <xf numFmtId="2" fontId="0" fillId="6" borderId="0" xfId="0" applyNumberFormat="1" applyFill="1" applyAlignment="1">
      <alignment horizontal="center" vertical="top"/>
    </xf>
    <xf numFmtId="0" fontId="9" fillId="6" borderId="0" xfId="0" applyFont="1" applyFill="1" applyAlignment="1">
      <alignment vertical="top"/>
    </xf>
    <xf numFmtId="0" fontId="2" fillId="3" borderId="0" xfId="0" applyFont="1" applyFill="1" applyAlignment="1">
      <alignment vertical="top"/>
    </xf>
    <xf numFmtId="2" fontId="19" fillId="5" borderId="0" xfId="0" applyNumberFormat="1" applyFont="1" applyFill="1" applyAlignment="1">
      <alignment horizontal="center" vertical="top"/>
    </xf>
    <xf numFmtId="0" fontId="2" fillId="5" borderId="0" xfId="0" applyFont="1" applyFill="1" applyAlignment="1">
      <alignment vertical="top"/>
    </xf>
    <xf numFmtId="0" fontId="12" fillId="3" borderId="0" xfId="0" applyFont="1" applyFill="1" applyAlignment="1">
      <alignment vertical="top"/>
    </xf>
    <xf numFmtId="2" fontId="1" fillId="3" borderId="0" xfId="0" applyNumberFormat="1" applyFont="1" applyFill="1" applyAlignment="1">
      <alignment horizontal="center" vertical="top"/>
    </xf>
    <xf numFmtId="0" fontId="1" fillId="3" borderId="0" xfId="0" applyFont="1" applyFill="1" applyAlignment="1">
      <alignment horizontal="right" vertical="top"/>
    </xf>
    <xf numFmtId="0" fontId="0" fillId="3" borderId="31" xfId="0" applyFill="1" applyBorder="1" applyAlignment="1">
      <alignment vertical="top"/>
    </xf>
    <xf numFmtId="2" fontId="0" fillId="3" borderId="31" xfId="0" applyNumberFormat="1" applyFill="1" applyBorder="1" applyAlignment="1">
      <alignment horizontal="center" vertical="top"/>
    </xf>
    <xf numFmtId="0" fontId="1" fillId="3" borderId="0" xfId="0" applyFont="1" applyFill="1" applyAlignment="1">
      <alignment vertical="top"/>
    </xf>
    <xf numFmtId="0" fontId="1" fillId="3" borderId="0" xfId="0" applyFont="1" applyFill="1" applyAlignment="1">
      <alignment horizontal="right" vertical="top" wrapText="1"/>
    </xf>
    <xf numFmtId="0" fontId="59" fillId="3" borderId="0" xfId="0" applyFont="1" applyFill="1" applyAlignment="1">
      <alignment horizontal="center" vertical="top"/>
    </xf>
    <xf numFmtId="0" fontId="59" fillId="3" borderId="52" xfId="0" applyFont="1" applyFill="1" applyBorder="1" applyAlignment="1">
      <alignment horizontal="center" vertical="top"/>
    </xf>
    <xf numFmtId="2" fontId="44" fillId="3" borderId="45" xfId="0" applyNumberFormat="1" applyFont="1" applyFill="1" applyBorder="1" applyAlignment="1">
      <alignment horizontal="center" vertical="center"/>
    </xf>
    <xf numFmtId="164" fontId="40" fillId="3" borderId="38" xfId="0" applyNumberFormat="1" applyFont="1" applyFill="1" applyBorder="1" applyAlignment="1">
      <alignment horizontal="center" vertical="center"/>
    </xf>
    <xf numFmtId="2" fontId="44" fillId="3" borderId="50" xfId="0" applyNumberFormat="1" applyFont="1" applyFill="1" applyBorder="1" applyAlignment="1">
      <alignment horizontal="center" vertical="center"/>
    </xf>
    <xf numFmtId="164" fontId="40" fillId="3" borderId="43" xfId="0" applyNumberFormat="1" applyFont="1" applyFill="1" applyBorder="1" applyAlignment="1">
      <alignment horizontal="center" vertical="center"/>
    </xf>
    <xf numFmtId="2" fontId="44" fillId="3" borderId="38" xfId="0" applyNumberFormat="1" applyFont="1" applyFill="1" applyBorder="1" applyAlignment="1">
      <alignment horizontal="center" vertical="center"/>
    </xf>
    <xf numFmtId="164" fontId="40" fillId="3" borderId="44" xfId="0" applyNumberFormat="1" applyFont="1" applyFill="1" applyBorder="1" applyAlignment="1">
      <alignment horizontal="center" vertical="center"/>
    </xf>
    <xf numFmtId="2" fontId="44" fillId="3" borderId="33" xfId="0" applyNumberFormat="1" applyFont="1" applyFill="1" applyBorder="1" applyAlignment="1">
      <alignment horizontal="center" vertical="center"/>
    </xf>
    <xf numFmtId="164" fontId="18" fillId="0" borderId="0" xfId="0" applyNumberFormat="1" applyFont="1" applyAlignment="1">
      <alignment vertical="center"/>
    </xf>
    <xf numFmtId="164" fontId="40" fillId="3" borderId="26" xfId="0" applyNumberFormat="1" applyFont="1" applyFill="1" applyBorder="1" applyAlignment="1">
      <alignment horizontal="center" vertical="center"/>
    </xf>
    <xf numFmtId="2" fontId="44" fillId="3" borderId="27" xfId="0" applyNumberFormat="1" applyFont="1" applyFill="1" applyBorder="1" applyAlignment="1">
      <alignment horizontal="center" vertical="center"/>
    </xf>
    <xf numFmtId="164" fontId="40" fillId="3" borderId="27" xfId="0" applyNumberFormat="1" applyFont="1" applyFill="1" applyBorder="1" applyAlignment="1">
      <alignment horizontal="right" vertical="center"/>
    </xf>
    <xf numFmtId="164" fontId="44" fillId="3" borderId="52" xfId="0" applyNumberFormat="1" applyFont="1" applyFill="1" applyBorder="1" applyAlignment="1">
      <alignment horizontal="center" vertical="center"/>
    </xf>
    <xf numFmtId="2" fontId="48" fillId="3" borderId="50" xfId="0" applyNumberFormat="1" applyFont="1" applyFill="1" applyBorder="1" applyAlignment="1">
      <alignment horizontal="center" vertical="center"/>
    </xf>
    <xf numFmtId="1" fontId="0" fillId="20" borderId="5" xfId="0" applyNumberFormat="1" applyFill="1" applyBorder="1" applyAlignment="1">
      <alignment horizontal="left" vertical="center"/>
    </xf>
    <xf numFmtId="1" fontId="0" fillId="20" borderId="33" xfId="0" applyNumberFormat="1" applyFill="1" applyBorder="1" applyAlignment="1">
      <alignment horizontal="left" vertical="center"/>
    </xf>
    <xf numFmtId="1" fontId="0" fillId="20" borderId="6" xfId="0" applyNumberFormat="1" applyFill="1" applyBorder="1" applyAlignment="1">
      <alignment horizontal="left" vertical="center"/>
    </xf>
    <xf numFmtId="1" fontId="0" fillId="20" borderId="38" xfId="0" applyNumberFormat="1" applyFill="1" applyBorder="1" applyAlignment="1">
      <alignment horizontal="left" vertical="center"/>
    </xf>
    <xf numFmtId="2" fontId="44" fillId="3" borderId="28" xfId="0" applyNumberFormat="1" applyFont="1" applyFill="1" applyBorder="1" applyAlignment="1">
      <alignment horizontal="center" vertical="center"/>
    </xf>
    <xf numFmtId="1" fontId="1" fillId="20" borderId="6" xfId="0" applyNumberFormat="1" applyFont="1" applyFill="1" applyBorder="1" applyAlignment="1">
      <alignment horizontal="left" vertical="center"/>
    </xf>
    <xf numFmtId="1" fontId="1" fillId="20" borderId="38" xfId="0" applyNumberFormat="1" applyFont="1" applyFill="1" applyBorder="1" applyAlignment="1">
      <alignment horizontal="left" vertical="center"/>
    </xf>
    <xf numFmtId="164" fontId="1" fillId="0" borderId="0" xfId="0" applyNumberFormat="1" applyFont="1" applyAlignment="1">
      <alignment vertical="center"/>
    </xf>
    <xf numFmtId="164" fontId="40" fillId="3" borderId="33" xfId="0" applyNumberFormat="1" applyFont="1" applyFill="1" applyBorder="1" applyAlignment="1">
      <alignment vertical="center"/>
    </xf>
    <xf numFmtId="0" fontId="1" fillId="0" borderId="38" xfId="0" applyFont="1" applyBorder="1" applyAlignment="1">
      <alignment horizontal="right" vertical="top" wrapText="1"/>
    </xf>
    <xf numFmtId="0" fontId="1" fillId="21" borderId="0" xfId="0" applyFont="1" applyFill="1" applyAlignment="1">
      <alignment horizontal="right" wrapText="1"/>
    </xf>
    <xf numFmtId="0" fontId="1" fillId="21" borderId="0" xfId="0" applyFont="1" applyFill="1" applyAlignment="1">
      <alignment horizontal="right" vertical="center" wrapText="1"/>
    </xf>
    <xf numFmtId="0" fontId="0" fillId="5" borderId="0" xfId="0" applyFill="1"/>
    <xf numFmtId="164" fontId="5" fillId="21" borderId="0" xfId="0" applyNumberFormat="1" applyFont="1" applyFill="1"/>
    <xf numFmtId="164" fontId="44" fillId="21" borderId="51" xfId="0" applyNumberFormat="1" applyFont="1" applyFill="1" applyBorder="1" applyAlignment="1">
      <alignment vertical="top" wrapText="1"/>
    </xf>
    <xf numFmtId="164" fontId="44" fillId="21" borderId="30" xfId="0" applyNumberFormat="1" applyFont="1" applyFill="1" applyBorder="1" applyAlignment="1">
      <alignment vertical="top" wrapText="1"/>
    </xf>
    <xf numFmtId="164" fontId="44" fillId="21" borderId="74" xfId="0" applyNumberFormat="1" applyFont="1" applyFill="1" applyBorder="1" applyAlignment="1">
      <alignment vertical="top" wrapText="1"/>
    </xf>
    <xf numFmtId="164" fontId="44" fillId="25" borderId="30" xfId="0" applyNumberFormat="1" applyFont="1" applyFill="1" applyBorder="1" applyAlignment="1">
      <alignment vertical="top" wrapText="1"/>
    </xf>
    <xf numFmtId="164" fontId="44" fillId="21" borderId="86" xfId="0" applyNumberFormat="1" applyFont="1" applyFill="1" applyBorder="1" applyAlignment="1">
      <alignment vertical="top" wrapText="1"/>
    </xf>
    <xf numFmtId="164" fontId="44" fillId="21" borderId="32" xfId="0" applyNumberFormat="1" applyFont="1" applyFill="1" applyBorder="1" applyAlignment="1">
      <alignment vertical="top" wrapText="1"/>
    </xf>
    <xf numFmtId="164" fontId="43" fillId="21" borderId="0" xfId="0" applyNumberFormat="1" applyFont="1" applyFill="1" applyAlignment="1">
      <alignment vertical="center"/>
    </xf>
    <xf numFmtId="164" fontId="44" fillId="0" borderId="30" xfId="0" applyNumberFormat="1" applyFont="1" applyBorder="1" applyAlignment="1">
      <alignment vertical="center"/>
    </xf>
    <xf numFmtId="164" fontId="43" fillId="21" borderId="0" xfId="0" applyNumberFormat="1" applyFont="1" applyFill="1" applyAlignment="1">
      <alignment horizontal="right" vertical="center"/>
    </xf>
    <xf numFmtId="0" fontId="3" fillId="10" borderId="25" xfId="0" applyFont="1" applyFill="1" applyBorder="1" applyAlignment="1">
      <alignment vertical="center"/>
    </xf>
    <xf numFmtId="164" fontId="1" fillId="10" borderId="30" xfId="0" applyNumberFormat="1" applyFont="1" applyFill="1" applyBorder="1" applyAlignment="1">
      <alignment horizontal="left" vertical="center"/>
    </xf>
    <xf numFmtId="164" fontId="1" fillId="10" borderId="25" xfId="0" applyNumberFormat="1" applyFont="1" applyFill="1" applyBorder="1" applyAlignment="1">
      <alignment horizontal="center" vertical="center"/>
    </xf>
    <xf numFmtId="164" fontId="49" fillId="10" borderId="30" xfId="0" applyNumberFormat="1" applyFont="1" applyFill="1" applyBorder="1" applyAlignment="1">
      <alignment horizontal="center" vertical="center"/>
    </xf>
    <xf numFmtId="164" fontId="0" fillId="10" borderId="30" xfId="0" applyNumberFormat="1" applyFill="1" applyBorder="1" applyAlignment="1">
      <alignment vertical="center"/>
    </xf>
    <xf numFmtId="164" fontId="1" fillId="10" borderId="60" xfId="0" applyNumberFormat="1" applyFont="1" applyFill="1" applyBorder="1" applyAlignment="1">
      <alignment horizontal="center" vertical="center"/>
    </xf>
    <xf numFmtId="164" fontId="0" fillId="10" borderId="32" xfId="0" applyNumberFormat="1" applyFill="1" applyBorder="1" applyAlignment="1">
      <alignment vertical="center"/>
    </xf>
    <xf numFmtId="164" fontId="0" fillId="10" borderId="29" xfId="0" applyNumberFormat="1" applyFill="1" applyBorder="1" applyAlignment="1">
      <alignment vertical="center"/>
    </xf>
    <xf numFmtId="164" fontId="0" fillId="10" borderId="42" xfId="0" applyNumberFormat="1" applyFill="1" applyBorder="1" applyAlignment="1">
      <alignment vertical="center"/>
    </xf>
    <xf numFmtId="164" fontId="2" fillId="10" borderId="30" xfId="0" applyNumberFormat="1" applyFont="1" applyFill="1" applyBorder="1" applyAlignment="1">
      <alignment horizontal="center" vertical="center"/>
    </xf>
    <xf numFmtId="164" fontId="2" fillId="10" borderId="32" xfId="0" applyNumberFormat="1" applyFont="1" applyFill="1" applyBorder="1" applyAlignment="1">
      <alignment horizontal="center" vertical="center"/>
    </xf>
    <xf numFmtId="164" fontId="1" fillId="10" borderId="11" xfId="0" applyNumberFormat="1" applyFont="1" applyFill="1" applyBorder="1" applyAlignment="1">
      <alignment vertical="center"/>
    </xf>
    <xf numFmtId="164" fontId="44" fillId="0" borderId="0" xfId="0" applyNumberFormat="1" applyFont="1" applyAlignment="1">
      <alignment horizontal="left" vertical="center"/>
    </xf>
    <xf numFmtId="1" fontId="1" fillId="12" borderId="27" xfId="0" applyNumberFormat="1" applyFont="1" applyFill="1" applyBorder="1" applyAlignment="1">
      <alignment horizontal="left" vertical="center"/>
    </xf>
    <xf numFmtId="164" fontId="48" fillId="3" borderId="27" xfId="0" applyNumberFormat="1" applyFont="1" applyFill="1" applyBorder="1" applyAlignment="1">
      <alignment vertical="center"/>
    </xf>
    <xf numFmtId="164" fontId="50" fillId="3" borderId="27" xfId="0" applyNumberFormat="1" applyFont="1" applyFill="1" applyBorder="1" applyAlignment="1">
      <alignment horizontal="right" vertical="center"/>
    </xf>
    <xf numFmtId="164" fontId="48" fillId="3" borderId="52" xfId="0" applyNumberFormat="1" applyFont="1" applyFill="1" applyBorder="1" applyAlignment="1">
      <alignment horizontal="center" vertical="center"/>
    </xf>
    <xf numFmtId="1" fontId="0" fillId="0" borderId="27" xfId="0" applyNumberFormat="1" applyBorder="1" applyAlignment="1">
      <alignment horizontal="center" vertical="top"/>
    </xf>
    <xf numFmtId="0" fontId="80" fillId="0" borderId="0" xfId="0" applyFont="1" applyAlignment="1">
      <alignment vertical="top"/>
    </xf>
    <xf numFmtId="0" fontId="81" fillId="0" borderId="0" xfId="0" applyFont="1" applyAlignment="1">
      <alignment vertical="top"/>
    </xf>
    <xf numFmtId="0" fontId="82" fillId="0" borderId="0" xfId="0" applyFont="1" applyAlignment="1">
      <alignment vertical="top"/>
    </xf>
    <xf numFmtId="0" fontId="2" fillId="0" borderId="27" xfId="0" applyFont="1" applyBorder="1" applyAlignment="1">
      <alignment horizontal="center" vertical="top" wrapText="1"/>
    </xf>
    <xf numFmtId="0" fontId="83" fillId="0" borderId="0" xfId="0" applyFont="1" applyAlignment="1">
      <alignment vertical="top"/>
    </xf>
    <xf numFmtId="0" fontId="83" fillId="0" borderId="0" xfId="0" applyFont="1" applyAlignment="1">
      <alignment horizontal="left" vertical="top"/>
    </xf>
    <xf numFmtId="0" fontId="84" fillId="0" borderId="0" xfId="0" applyFont="1" applyAlignment="1">
      <alignment vertical="top"/>
    </xf>
    <xf numFmtId="0" fontId="2" fillId="11" borderId="0" xfId="0" quotePrefix="1" applyFont="1" applyFill="1" applyAlignment="1">
      <alignment vertical="top"/>
    </xf>
    <xf numFmtId="0" fontId="2" fillId="11" borderId="0" xfId="0" applyFont="1" applyFill="1" applyAlignment="1">
      <alignment vertical="top"/>
    </xf>
    <xf numFmtId="14" fontId="1" fillId="11" borderId="8" xfId="0" applyNumberFormat="1" applyFont="1" applyFill="1" applyBorder="1" applyAlignment="1" applyProtection="1">
      <alignment horizontal="center" vertical="top" wrapText="1"/>
      <protection locked="0"/>
    </xf>
    <xf numFmtId="1" fontId="2" fillId="11" borderId="9" xfId="0" applyNumberFormat="1" applyFont="1" applyFill="1" applyBorder="1" applyAlignment="1" applyProtection="1">
      <alignment horizontal="center" vertical="top" wrapText="1"/>
      <protection locked="0"/>
    </xf>
    <xf numFmtId="1" fontId="2" fillId="11" borderId="8" xfId="0" applyNumberFormat="1" applyFont="1" applyFill="1" applyBorder="1" applyAlignment="1" applyProtection="1">
      <alignment horizontal="center" vertical="top" wrapText="1"/>
      <protection locked="0"/>
    </xf>
    <xf numFmtId="1" fontId="2" fillId="11" borderId="10" xfId="0" applyNumberFormat="1" applyFont="1" applyFill="1" applyBorder="1" applyAlignment="1" applyProtection="1">
      <alignment horizontal="center" vertical="top" wrapText="1"/>
      <protection locked="0"/>
    </xf>
    <xf numFmtId="1" fontId="2" fillId="28" borderId="9" xfId="0" applyNumberFormat="1" applyFont="1" applyFill="1" applyBorder="1" applyAlignment="1" applyProtection="1">
      <alignment horizontal="center" vertical="top" wrapText="1"/>
      <protection locked="0"/>
    </xf>
    <xf numFmtId="1" fontId="2" fillId="28" borderId="10" xfId="0" applyNumberFormat="1" applyFont="1" applyFill="1" applyBorder="1" applyAlignment="1" applyProtection="1">
      <alignment horizontal="center" vertical="top" wrapText="1"/>
      <protection locked="0"/>
    </xf>
    <xf numFmtId="1" fontId="2" fillId="11" borderId="34" xfId="0" applyNumberFormat="1" applyFont="1" applyFill="1" applyBorder="1" applyAlignment="1" applyProtection="1">
      <alignment horizontal="center" vertical="top" wrapText="1"/>
      <protection locked="0"/>
    </xf>
    <xf numFmtId="1" fontId="2" fillId="11" borderId="35" xfId="0" applyNumberFormat="1" applyFont="1" applyFill="1" applyBorder="1" applyAlignment="1" applyProtection="1">
      <alignment horizontal="center" vertical="top" wrapText="1"/>
      <protection locked="0"/>
    </xf>
    <xf numFmtId="0" fontId="2" fillId="11" borderId="11" xfId="0" applyFont="1" applyFill="1" applyBorder="1" applyAlignment="1">
      <alignment vertical="top"/>
    </xf>
    <xf numFmtId="2" fontId="0" fillId="11" borderId="12" xfId="0" applyNumberFormat="1" applyFill="1" applyBorder="1" applyAlignment="1">
      <alignment horizontal="center" vertical="top"/>
    </xf>
    <xf numFmtId="0" fontId="0" fillId="11" borderId="13" xfId="0" applyFill="1" applyBorder="1" applyAlignment="1">
      <alignment vertical="top"/>
    </xf>
    <xf numFmtId="0" fontId="0" fillId="11" borderId="14" xfId="0" applyFill="1" applyBorder="1" applyAlignment="1">
      <alignment vertical="top"/>
    </xf>
    <xf numFmtId="0" fontId="0" fillId="11" borderId="15" xfId="0" applyFill="1" applyBorder="1" applyAlignment="1">
      <alignment vertical="top"/>
    </xf>
    <xf numFmtId="2" fontId="0" fillId="11" borderId="16" xfId="0" applyNumberFormat="1" applyFill="1" applyBorder="1" applyAlignment="1">
      <alignment horizontal="center" vertical="top"/>
    </xf>
    <xf numFmtId="0" fontId="0" fillId="11" borderId="17" xfId="0" applyFill="1" applyBorder="1" applyAlignment="1">
      <alignment vertical="top"/>
    </xf>
    <xf numFmtId="0" fontId="0" fillId="11" borderId="18" xfId="0" applyFill="1" applyBorder="1" applyAlignment="1">
      <alignment vertical="top"/>
    </xf>
    <xf numFmtId="0" fontId="2" fillId="11" borderId="15" xfId="0" applyFont="1" applyFill="1" applyBorder="1" applyAlignment="1">
      <alignment vertical="top"/>
    </xf>
    <xf numFmtId="2" fontId="11" fillId="11" borderId="16" xfId="0" applyNumberFormat="1" applyFont="1" applyFill="1" applyBorder="1" applyAlignment="1">
      <alignment horizontal="center" vertical="top"/>
    </xf>
    <xf numFmtId="0" fontId="0" fillId="11" borderId="19" xfId="0" applyFill="1" applyBorder="1" applyAlignment="1">
      <alignment vertical="top"/>
    </xf>
    <xf numFmtId="2" fontId="0" fillId="11" borderId="20" xfId="0" applyNumberFormat="1" applyFill="1" applyBorder="1" applyAlignment="1">
      <alignment horizontal="center" vertical="top"/>
    </xf>
    <xf numFmtId="0" fontId="0" fillId="11" borderId="10" xfId="0" applyFill="1" applyBorder="1" applyAlignment="1">
      <alignment vertical="top"/>
    </xf>
    <xf numFmtId="0" fontId="0" fillId="11" borderId="21" xfId="0" applyFill="1" applyBorder="1" applyAlignment="1">
      <alignment vertical="top"/>
    </xf>
    <xf numFmtId="0" fontId="48" fillId="11" borderId="11" xfId="0" applyFont="1" applyFill="1" applyBorder="1" applyAlignment="1">
      <alignment vertical="top"/>
    </xf>
    <xf numFmtId="0" fontId="48" fillId="11" borderId="48" xfId="0" applyFont="1" applyFill="1" applyBorder="1" applyAlignment="1">
      <alignment vertical="top"/>
    </xf>
    <xf numFmtId="0" fontId="48" fillId="11" borderId="15" xfId="0" applyFont="1" applyFill="1" applyBorder="1" applyAlignment="1">
      <alignment vertical="top"/>
    </xf>
    <xf numFmtId="0" fontId="0" fillId="11" borderId="11" xfId="0" applyFill="1" applyBorder="1" applyAlignment="1">
      <alignment vertical="top"/>
    </xf>
    <xf numFmtId="2" fontId="0" fillId="11" borderId="15" xfId="0" applyNumberFormat="1" applyFill="1" applyBorder="1" applyAlignment="1">
      <alignment vertical="top"/>
    </xf>
    <xf numFmtId="2" fontId="0" fillId="11" borderId="29" xfId="0" applyNumberFormat="1" applyFill="1" applyBorder="1" applyAlignment="1">
      <alignment horizontal="center" vertical="top"/>
    </xf>
    <xf numFmtId="2" fontId="0" fillId="11" borderId="13" xfId="0" applyNumberFormat="1" applyFill="1" applyBorder="1" applyAlignment="1">
      <alignment vertical="top"/>
    </xf>
    <xf numFmtId="2" fontId="0" fillId="11" borderId="29" xfId="0" applyNumberFormat="1" applyFill="1" applyBorder="1" applyAlignment="1">
      <alignment vertical="top"/>
    </xf>
    <xf numFmtId="2" fontId="0" fillId="11" borderId="42" xfId="0" applyNumberFormat="1" applyFill="1" applyBorder="1" applyAlignment="1">
      <alignment vertical="top"/>
    </xf>
    <xf numFmtId="2" fontId="0" fillId="11" borderId="17" xfId="0" applyNumberFormat="1" applyFill="1" applyBorder="1" applyAlignment="1">
      <alignment vertical="top"/>
    </xf>
    <xf numFmtId="2" fontId="0" fillId="11" borderId="30" xfId="0" applyNumberFormat="1" applyFill="1" applyBorder="1" applyAlignment="1">
      <alignment vertical="top"/>
    </xf>
    <xf numFmtId="2" fontId="0" fillId="11" borderId="31" xfId="0" applyNumberFormat="1" applyFill="1" applyBorder="1" applyAlignment="1">
      <alignment horizontal="center" vertical="top"/>
    </xf>
    <xf numFmtId="2" fontId="0" fillId="11" borderId="10" xfId="0" applyNumberFormat="1" applyFill="1" applyBorder="1" applyAlignment="1">
      <alignment vertical="top"/>
    </xf>
    <xf numFmtId="2" fontId="0" fillId="11" borderId="31" xfId="0" applyNumberFormat="1" applyFill="1" applyBorder="1" applyAlignment="1">
      <alignment vertical="top"/>
    </xf>
    <xf numFmtId="2" fontId="0" fillId="11" borderId="32" xfId="0" applyNumberFormat="1" applyFill="1" applyBorder="1" applyAlignment="1">
      <alignment vertical="top"/>
    </xf>
    <xf numFmtId="0" fontId="0" fillId="11" borderId="108" xfId="0" applyFill="1" applyBorder="1" applyAlignment="1">
      <alignment vertical="top"/>
    </xf>
    <xf numFmtId="0" fontId="0" fillId="11" borderId="25" xfId="0" applyFill="1" applyBorder="1" applyAlignment="1">
      <alignment vertical="top"/>
    </xf>
    <xf numFmtId="0" fontId="0" fillId="11" borderId="60" xfId="0" applyFill="1" applyBorder="1" applyAlignment="1">
      <alignment vertical="top"/>
    </xf>
    <xf numFmtId="2" fontId="2" fillId="11" borderId="16" xfId="0" applyNumberFormat="1" applyFont="1" applyFill="1" applyBorder="1" applyAlignment="1">
      <alignment horizontal="center" vertical="top"/>
    </xf>
    <xf numFmtId="2" fontId="2" fillId="11" borderId="15" xfId="0" applyNumberFormat="1" applyFont="1" applyFill="1" applyBorder="1" applyAlignment="1">
      <alignment vertical="top"/>
    </xf>
    <xf numFmtId="0" fontId="84" fillId="0" borderId="0" xfId="0" applyFont="1" applyAlignment="1">
      <alignment horizontal="center" vertical="top"/>
    </xf>
    <xf numFmtId="1" fontId="1" fillId="9" borderId="0" xfId="0" applyNumberFormat="1" applyFont="1" applyFill="1" applyAlignment="1">
      <alignment horizontal="left" vertical="top"/>
    </xf>
    <xf numFmtId="0" fontId="0" fillId="8" borderId="0" xfId="0" applyFill="1" applyAlignment="1">
      <alignment wrapText="1"/>
    </xf>
    <xf numFmtId="164" fontId="42" fillId="3" borderId="23" xfId="0" applyNumberFormat="1" applyFont="1" applyFill="1" applyBorder="1" applyAlignment="1">
      <alignment horizontal="center"/>
    </xf>
    <xf numFmtId="164" fontId="0" fillId="25" borderId="15" xfId="0" applyNumberFormat="1" applyFill="1" applyBorder="1" applyAlignment="1">
      <alignment vertical="center"/>
    </xf>
    <xf numFmtId="164" fontId="0" fillId="25" borderId="0" xfId="0" applyNumberFormat="1" applyFill="1" applyAlignment="1">
      <alignment vertical="center"/>
    </xf>
    <xf numFmtId="164" fontId="0" fillId="25" borderId="0" xfId="0" applyNumberFormat="1" applyFill="1" applyAlignment="1">
      <alignment horizontal="right" vertical="center"/>
    </xf>
    <xf numFmtId="49" fontId="2" fillId="0" borderId="0" xfId="0" applyNumberFormat="1" applyFont="1" applyAlignment="1">
      <alignment horizontal="center" vertical="center"/>
    </xf>
    <xf numFmtId="49" fontId="1" fillId="0" borderId="0" xfId="0" applyNumberFormat="1" applyFont="1" applyAlignment="1">
      <alignment horizontal="center"/>
    </xf>
    <xf numFmtId="0" fontId="0" fillId="0" borderId="6" xfId="0" applyBorder="1" applyAlignment="1">
      <alignment horizontal="center" vertical="top" wrapText="1"/>
    </xf>
    <xf numFmtId="0" fontId="0" fillId="0" borderId="5" xfId="0" applyBorder="1" applyAlignment="1">
      <alignment horizontal="center" vertical="top" wrapText="1"/>
    </xf>
    <xf numFmtId="0" fontId="0" fillId="0" borderId="7" xfId="0" applyBorder="1" applyAlignment="1">
      <alignment horizontal="center" vertical="top" wrapText="1"/>
    </xf>
    <xf numFmtId="164" fontId="44" fillId="0" borderId="30" xfId="0" applyNumberFormat="1" applyFont="1" applyBorder="1" applyAlignment="1">
      <alignment horizontal="left" vertical="center"/>
    </xf>
    <xf numFmtId="2" fontId="71" fillId="0" borderId="0" xfId="0" applyNumberFormat="1" applyFont="1" applyAlignment="1">
      <alignment horizontal="center" vertical="top"/>
    </xf>
    <xf numFmtId="0" fontId="59" fillId="8" borderId="0" xfId="0" applyFont="1" applyFill="1" applyAlignment="1">
      <alignment horizontal="center" vertical="top"/>
    </xf>
    <xf numFmtId="49" fontId="2" fillId="0" borderId="105" xfId="0" applyNumberFormat="1" applyFont="1" applyBorder="1" applyAlignment="1">
      <alignment horizontal="center" vertical="top"/>
    </xf>
    <xf numFmtId="49" fontId="1" fillId="0" borderId="105" xfId="0" applyNumberFormat="1" applyFont="1" applyBorder="1" applyAlignment="1">
      <alignment horizontal="center" vertical="top"/>
    </xf>
    <xf numFmtId="0" fontId="2" fillId="11" borderId="13" xfId="0" applyFont="1" applyFill="1" applyBorder="1" applyAlignment="1">
      <alignment vertical="top"/>
    </xf>
    <xf numFmtId="0" fontId="75" fillId="11" borderId="109" xfId="0" applyFont="1" applyFill="1" applyBorder="1" applyAlignment="1">
      <alignment horizontal="center" wrapText="1"/>
    </xf>
    <xf numFmtId="0" fontId="76" fillId="11" borderId="110" xfId="0" applyFont="1" applyFill="1" applyBorder="1" applyAlignment="1">
      <alignment horizontal="center" wrapText="1"/>
    </xf>
    <xf numFmtId="0" fontId="21" fillId="11" borderId="111" xfId="0" applyFont="1" applyFill="1" applyBorder="1" applyAlignment="1">
      <alignment horizontal="center" vertical="top" wrapText="1"/>
    </xf>
    <xf numFmtId="0" fontId="21" fillId="11" borderId="110" xfId="0" applyFont="1" applyFill="1" applyBorder="1" applyAlignment="1">
      <alignment wrapText="1"/>
    </xf>
    <xf numFmtId="0" fontId="87" fillId="0" borderId="110" xfId="0" applyFont="1" applyBorder="1" applyAlignment="1">
      <alignment wrapText="1"/>
    </xf>
    <xf numFmtId="0" fontId="2" fillId="0" borderId="27" xfId="0" applyFont="1" applyBorder="1" applyAlignment="1">
      <alignment horizontal="left" vertical="top" wrapText="1"/>
    </xf>
    <xf numFmtId="0" fontId="2" fillId="0" borderId="38" xfId="0" applyFont="1" applyBorder="1" applyAlignment="1">
      <alignment horizontal="left" vertical="top" wrapText="1"/>
    </xf>
    <xf numFmtId="0" fontId="0" fillId="0" borderId="0" xfId="0" applyBorder="1" applyAlignment="1">
      <alignment vertical="top"/>
    </xf>
    <xf numFmtId="0" fontId="2" fillId="0" borderId="0" xfId="0" applyFont="1" applyBorder="1" applyAlignment="1">
      <alignment horizontal="left" vertical="top" wrapText="1"/>
    </xf>
    <xf numFmtId="164" fontId="0" fillId="0" borderId="0" xfId="0" applyNumberFormat="1" applyAlignment="1"/>
    <xf numFmtId="164" fontId="43" fillId="21" borderId="22" xfId="0" applyNumberFormat="1" applyFont="1" applyFill="1" applyBorder="1" applyAlignment="1"/>
    <xf numFmtId="0" fontId="0" fillId="8" borderId="27" xfId="0" applyFill="1" applyBorder="1" applyAlignment="1">
      <alignment vertical="top" wrapText="1"/>
    </xf>
    <xf numFmtId="2" fontId="0" fillId="8" borderId="27" xfId="0" applyNumberFormat="1" applyFill="1" applyBorder="1" applyAlignment="1">
      <alignment horizontal="center" vertical="top" wrapText="1"/>
    </xf>
    <xf numFmtId="0" fontId="0" fillId="8" borderId="27" xfId="0" applyFill="1" applyBorder="1" applyAlignment="1">
      <alignment vertical="top"/>
    </xf>
    <xf numFmtId="2" fontId="1" fillId="8" borderId="27" xfId="0" applyNumberFormat="1" applyFont="1" applyFill="1" applyBorder="1" applyAlignment="1">
      <alignment horizontal="center" vertical="top"/>
    </xf>
    <xf numFmtId="2" fontId="52" fillId="0" borderId="38" xfId="0" applyNumberFormat="1" applyFont="1" applyBorder="1" applyAlignment="1">
      <alignment horizontal="center" vertical="top"/>
    </xf>
    <xf numFmtId="49" fontId="1" fillId="11" borderId="36" xfId="0" applyNumberFormat="1" applyFont="1" applyFill="1" applyBorder="1" applyAlignment="1" applyProtection="1">
      <alignment vertical="top" wrapText="1"/>
      <protection locked="0"/>
    </xf>
    <xf numFmtId="49" fontId="1" fillId="11" borderId="9" xfId="0" applyNumberFormat="1" applyFont="1" applyFill="1" applyBorder="1" applyAlignment="1" applyProtection="1">
      <alignment horizontal="center" vertical="top" wrapText="1"/>
      <protection locked="0"/>
    </xf>
    <xf numFmtId="49" fontId="1" fillId="11" borderId="8" xfId="0" applyNumberFormat="1" applyFont="1" applyFill="1" applyBorder="1" applyAlignment="1" applyProtection="1">
      <alignment horizontal="center" vertical="top" wrapText="1"/>
      <protection locked="0"/>
    </xf>
    <xf numFmtId="49" fontId="1" fillId="11" borderId="26" xfId="0" applyNumberFormat="1" applyFont="1" applyFill="1" applyBorder="1" applyAlignment="1" applyProtection="1">
      <alignment horizontal="left" vertical="top" wrapText="1"/>
      <protection locked="0"/>
    </xf>
    <xf numFmtId="49" fontId="1" fillId="11" borderId="52" xfId="0" applyNumberFormat="1" applyFont="1" applyFill="1" applyBorder="1" applyAlignment="1" applyProtection="1">
      <alignment horizontal="left" vertical="top" wrapText="1"/>
      <protection locked="0"/>
    </xf>
    <xf numFmtId="49" fontId="1" fillId="11" borderId="37" xfId="0" applyNumberFormat="1" applyFont="1" applyFill="1" applyBorder="1" applyAlignment="1" applyProtection="1">
      <alignment horizontal="left" vertical="top" wrapText="1"/>
      <protection locked="0"/>
    </xf>
    <xf numFmtId="49" fontId="1" fillId="11" borderId="18" xfId="0" applyNumberFormat="1" applyFont="1" applyFill="1" applyBorder="1" applyAlignment="1" applyProtection="1">
      <alignment horizontal="left" vertical="top" wrapText="1"/>
      <protection locked="0"/>
    </xf>
    <xf numFmtId="49" fontId="1" fillId="11" borderId="21" xfId="0" applyNumberFormat="1" applyFont="1" applyFill="1" applyBorder="1" applyAlignment="1" applyProtection="1">
      <alignment horizontal="left" vertical="top" wrapText="1"/>
      <protection locked="0"/>
    </xf>
    <xf numFmtId="0" fontId="1" fillId="0" borderId="23" xfId="0" applyFont="1" applyBorder="1" applyAlignment="1">
      <alignment horizontal="right" vertical="top" wrapText="1"/>
    </xf>
    <xf numFmtId="0" fontId="1" fillId="0" borderId="17" xfId="0" applyFont="1" applyBorder="1" applyAlignment="1">
      <alignment horizontal="right" vertical="top" wrapText="1"/>
    </xf>
    <xf numFmtId="0" fontId="1" fillId="0" borderId="10" xfId="0" applyFont="1" applyBorder="1" applyAlignment="1">
      <alignment horizontal="right" vertical="top" wrapText="1"/>
    </xf>
    <xf numFmtId="0" fontId="0" fillId="0" borderId="0" xfId="0" applyAlignment="1">
      <alignment horizontal="left" vertical="top" wrapText="1"/>
    </xf>
    <xf numFmtId="2" fontId="6" fillId="0" borderId="0" xfId="0" applyNumberFormat="1" applyFont="1" applyAlignment="1">
      <alignment horizontal="left" vertical="center" wrapText="1"/>
    </xf>
    <xf numFmtId="0" fontId="1" fillId="8" borderId="0" xfId="0" applyFont="1" applyFill="1" applyAlignment="1">
      <alignment horizontal="left" vertical="top" wrapText="1"/>
    </xf>
    <xf numFmtId="0" fontId="1" fillId="0" borderId="49" xfId="0" applyFont="1" applyBorder="1" applyAlignment="1">
      <alignment horizontal="left" vertical="top" wrapText="1"/>
    </xf>
    <xf numFmtId="0" fontId="1" fillId="0" borderId="47" xfId="0" applyFont="1" applyBorder="1" applyAlignment="1">
      <alignment horizontal="left" vertical="top" wrapText="1"/>
    </xf>
    <xf numFmtId="0" fontId="1" fillId="27" borderId="0" xfId="0" applyFont="1" applyFill="1" applyAlignment="1">
      <alignment horizontal="left" vertical="top" wrapText="1"/>
    </xf>
    <xf numFmtId="0" fontId="1" fillId="8" borderId="31" xfId="0" applyFont="1" applyFill="1" applyBorder="1" applyAlignment="1">
      <alignment horizontal="left" vertical="top"/>
    </xf>
    <xf numFmtId="0" fontId="2" fillId="0" borderId="27" xfId="0" applyFont="1" applyBorder="1" applyAlignment="1">
      <alignment horizontal="left" vertical="top" wrapText="1"/>
    </xf>
    <xf numFmtId="0" fontId="1" fillId="0" borderId="11" xfId="0" applyFont="1" applyBorder="1" applyAlignment="1">
      <alignment horizontal="left" vertical="top" wrapText="1"/>
    </xf>
    <xf numFmtId="0" fontId="1" fillId="0" borderId="42" xfId="0" applyFont="1" applyBorder="1" applyAlignment="1">
      <alignment horizontal="left" vertical="top" wrapText="1"/>
    </xf>
    <xf numFmtId="0" fontId="1" fillId="0" borderId="19" xfId="0" applyFont="1" applyBorder="1" applyAlignment="1">
      <alignment horizontal="left" vertical="top" wrapText="1"/>
    </xf>
    <xf numFmtId="0" fontId="1" fillId="0" borderId="32" xfId="0" applyFont="1" applyBorder="1" applyAlignment="1">
      <alignment horizontal="left" vertical="top" wrapText="1"/>
    </xf>
    <xf numFmtId="0" fontId="3" fillId="11" borderId="0" xfId="0" quotePrefix="1" applyFont="1" applyFill="1" applyAlignment="1">
      <alignment horizontal="center" vertical="top"/>
    </xf>
    <xf numFmtId="0" fontId="0" fillId="0" borderId="0" xfId="0" applyAlignment="1">
      <alignment horizontal="left" vertical="top"/>
    </xf>
    <xf numFmtId="0" fontId="71" fillId="0" borderId="38" xfId="0" applyFont="1" applyBorder="1" applyAlignment="1">
      <alignment horizontal="left" vertical="top" wrapText="1"/>
    </xf>
    <xf numFmtId="0" fontId="2" fillId="0" borderId="38" xfId="0" applyFont="1" applyBorder="1" applyAlignment="1">
      <alignment horizontal="left" vertical="top" wrapText="1"/>
    </xf>
    <xf numFmtId="164" fontId="1" fillId="21" borderId="77" xfId="0" applyNumberFormat="1" applyFont="1" applyFill="1" applyBorder="1" applyAlignment="1">
      <alignment horizontal="center" vertical="center"/>
    </xf>
    <xf numFmtId="164" fontId="1" fillId="21" borderId="78" xfId="0" applyNumberFormat="1" applyFont="1" applyFill="1" applyBorder="1" applyAlignment="1">
      <alignment horizontal="center" vertical="center"/>
    </xf>
    <xf numFmtId="164" fontId="40" fillId="14" borderId="26" xfId="0" applyNumberFormat="1" applyFont="1" applyFill="1" applyBorder="1" applyAlignment="1">
      <alignment horizontal="right" vertical="center"/>
    </xf>
    <xf numFmtId="164" fontId="40" fillId="14" borderId="27" xfId="0" applyNumberFormat="1" applyFont="1" applyFill="1" applyBorder="1" applyAlignment="1">
      <alignment horizontal="right" vertical="center"/>
    </xf>
    <xf numFmtId="164" fontId="40" fillId="14" borderId="43" xfId="0" applyNumberFormat="1" applyFont="1" applyFill="1" applyBorder="1" applyAlignment="1">
      <alignment horizontal="right" vertical="center"/>
    </xf>
    <xf numFmtId="164" fontId="40" fillId="14" borderId="38" xfId="0" applyNumberFormat="1" applyFont="1" applyFill="1" applyBorder="1" applyAlignment="1">
      <alignment horizontal="right" vertical="center"/>
    </xf>
    <xf numFmtId="164" fontId="40" fillId="14" borderId="43" xfId="0" applyNumberFormat="1" applyFont="1" applyFill="1" applyBorder="1" applyAlignment="1">
      <alignment horizontal="right"/>
    </xf>
    <xf numFmtId="164" fontId="40" fillId="14" borderId="38" xfId="0" applyNumberFormat="1" applyFont="1" applyFill="1" applyBorder="1" applyAlignment="1">
      <alignment horizontal="right"/>
    </xf>
    <xf numFmtId="164" fontId="0" fillId="0" borderId="0" xfId="0" applyNumberFormat="1" applyAlignment="1">
      <alignment horizontal="left" vertical="top" wrapText="1"/>
    </xf>
    <xf numFmtId="1" fontId="17" fillId="9" borderId="49" xfId="0" applyNumberFormat="1" applyFont="1" applyFill="1" applyBorder="1" applyAlignment="1">
      <alignment horizontal="left" vertical="center"/>
    </xf>
    <xf numFmtId="1" fontId="17" fillId="9" borderId="46" xfId="0" applyNumberFormat="1" applyFont="1" applyFill="1" applyBorder="1" applyAlignment="1">
      <alignment horizontal="left" vertical="center"/>
    </xf>
    <xf numFmtId="1" fontId="17" fillId="9" borderId="47" xfId="0" applyNumberFormat="1" applyFont="1" applyFill="1" applyBorder="1" applyAlignment="1">
      <alignment horizontal="left" vertical="center"/>
    </xf>
    <xf numFmtId="1" fontId="18" fillId="9" borderId="49" xfId="0" applyNumberFormat="1" applyFont="1" applyFill="1" applyBorder="1" applyAlignment="1">
      <alignment horizontal="left" vertical="center"/>
    </xf>
    <xf numFmtId="1" fontId="18" fillId="9" borderId="46" xfId="0" applyNumberFormat="1" applyFont="1" applyFill="1" applyBorder="1" applyAlignment="1">
      <alignment horizontal="left" vertical="center"/>
    </xf>
    <xf numFmtId="1" fontId="18" fillId="9" borderId="47" xfId="0" applyNumberFormat="1" applyFont="1" applyFill="1" applyBorder="1" applyAlignment="1">
      <alignment horizontal="left" vertical="center"/>
    </xf>
    <xf numFmtId="1" fontId="18" fillId="19" borderId="49" xfId="0" applyNumberFormat="1" applyFont="1" applyFill="1" applyBorder="1" applyAlignment="1">
      <alignment horizontal="left" vertical="center"/>
    </xf>
    <xf numFmtId="1" fontId="18" fillId="19" borderId="46" xfId="0" applyNumberFormat="1" applyFont="1" applyFill="1" applyBorder="1" applyAlignment="1">
      <alignment horizontal="left" vertical="center"/>
    </xf>
    <xf numFmtId="1" fontId="18" fillId="19" borderId="47" xfId="0" applyNumberFormat="1" applyFont="1" applyFill="1" applyBorder="1" applyAlignment="1">
      <alignment horizontal="left" vertical="center"/>
    </xf>
    <xf numFmtId="164" fontId="40" fillId="14" borderId="44" xfId="0" applyNumberFormat="1" applyFont="1" applyFill="1" applyBorder="1" applyAlignment="1">
      <alignment horizontal="right" vertical="center"/>
    </xf>
    <xf numFmtId="164" fontId="40" fillId="14" borderId="33" xfId="0" applyNumberFormat="1" applyFont="1" applyFill="1" applyBorder="1" applyAlignment="1">
      <alignment horizontal="right" vertical="center"/>
    </xf>
    <xf numFmtId="164" fontId="42" fillId="11" borderId="38" xfId="0" applyNumberFormat="1" applyFont="1" applyFill="1" applyBorder="1" applyAlignment="1">
      <alignment horizontal="center"/>
    </xf>
    <xf numFmtId="164" fontId="42" fillId="11" borderId="50" xfId="0" applyNumberFormat="1" applyFont="1" applyFill="1" applyBorder="1" applyAlignment="1">
      <alignment horizontal="center"/>
    </xf>
    <xf numFmtId="164" fontId="18" fillId="8" borderId="49" xfId="0" applyNumberFormat="1" applyFont="1" applyFill="1" applyBorder="1" applyAlignment="1">
      <alignment horizontal="left" vertical="center"/>
    </xf>
    <xf numFmtId="164" fontId="18" fillId="8" borderId="46" xfId="0" applyNumberFormat="1" applyFont="1" applyFill="1" applyBorder="1" applyAlignment="1">
      <alignment horizontal="left" vertical="center"/>
    </xf>
    <xf numFmtId="164" fontId="18" fillId="8" borderId="47" xfId="0" applyNumberFormat="1" applyFont="1" applyFill="1" applyBorder="1" applyAlignment="1">
      <alignment horizontal="left" vertical="center"/>
    </xf>
    <xf numFmtId="2" fontId="44" fillId="14" borderId="38" xfId="0" applyNumberFormat="1" applyFont="1" applyFill="1" applyBorder="1" applyAlignment="1">
      <alignment horizontal="center" vertical="center"/>
    </xf>
    <xf numFmtId="2" fontId="44" fillId="14" borderId="2" xfId="0" applyNumberFormat="1" applyFont="1" applyFill="1" applyBorder="1" applyAlignment="1">
      <alignment horizontal="center" vertical="center"/>
    </xf>
    <xf numFmtId="164" fontId="42" fillId="11" borderId="38" xfId="0" applyNumberFormat="1" applyFont="1" applyFill="1" applyBorder="1" applyAlignment="1">
      <alignment horizontal="center" vertical="center"/>
    </xf>
    <xf numFmtId="164" fontId="42" fillId="11" borderId="50" xfId="0" applyNumberFormat="1" applyFont="1" applyFill="1" applyBorder="1" applyAlignment="1">
      <alignment horizontal="center" vertical="center"/>
    </xf>
    <xf numFmtId="1" fontId="44" fillId="6" borderId="38" xfId="0" applyNumberFormat="1" applyFont="1" applyFill="1" applyBorder="1" applyAlignment="1">
      <alignment horizontal="center" vertical="center"/>
    </xf>
    <xf numFmtId="1" fontId="44" fillId="6" borderId="2" xfId="0" applyNumberFormat="1" applyFont="1" applyFill="1" applyBorder="1" applyAlignment="1">
      <alignment horizontal="center" vertical="center"/>
    </xf>
    <xf numFmtId="164" fontId="2" fillId="0" borderId="27" xfId="0" applyNumberFormat="1" applyFont="1" applyBorder="1" applyAlignment="1">
      <alignment horizontal="left" vertical="center" wrapText="1"/>
    </xf>
    <xf numFmtId="164" fontId="2" fillId="0" borderId="52" xfId="0" applyNumberFormat="1" applyFont="1" applyBorder="1" applyAlignment="1">
      <alignment horizontal="left" vertical="center" wrapText="1"/>
    </xf>
    <xf numFmtId="164" fontId="2" fillId="0" borderId="22" xfId="0" applyNumberFormat="1" applyFont="1" applyBorder="1" applyAlignment="1">
      <alignment horizontal="left" vertical="center" wrapText="1"/>
    </xf>
    <xf numFmtId="164" fontId="2" fillId="0" borderId="0" xfId="0" applyNumberFormat="1" applyFont="1" applyAlignment="1">
      <alignment horizontal="left" vertical="center" wrapText="1"/>
    </xf>
    <xf numFmtId="164" fontId="0" fillId="0" borderId="0" xfId="0" applyNumberFormat="1" applyAlignment="1">
      <alignment horizontal="left" vertical="center" wrapText="1"/>
    </xf>
    <xf numFmtId="164" fontId="5" fillId="21" borderId="0" xfId="0" applyNumberFormat="1" applyFont="1" applyFill="1" applyAlignment="1">
      <alignment horizontal="center"/>
    </xf>
    <xf numFmtId="164" fontId="2" fillId="21" borderId="0" xfId="0" applyNumberFormat="1" applyFont="1" applyFill="1" applyAlignment="1">
      <alignment horizontal="center"/>
    </xf>
    <xf numFmtId="164" fontId="41" fillId="21" borderId="0" xfId="0" applyNumberFormat="1" applyFont="1" applyFill="1" applyAlignment="1">
      <alignment horizontal="center"/>
    </xf>
    <xf numFmtId="164" fontId="5" fillId="0" borderId="0" xfId="0" applyNumberFormat="1" applyFont="1" applyAlignment="1">
      <alignment horizontal="center"/>
    </xf>
    <xf numFmtId="164" fontId="3" fillId="0" borderId="0" xfId="0" applyNumberFormat="1" applyFont="1" applyAlignment="1">
      <alignment horizontal="center"/>
    </xf>
    <xf numFmtId="164" fontId="43" fillId="21" borderId="48" xfId="0" applyNumberFormat="1" applyFont="1" applyFill="1" applyBorder="1" applyAlignment="1">
      <alignment horizontal="right"/>
    </xf>
    <xf numFmtId="164" fontId="43" fillId="21" borderId="22" xfId="0" applyNumberFormat="1" applyFont="1" applyFill="1" applyBorder="1" applyAlignment="1">
      <alignment horizontal="right"/>
    </xf>
    <xf numFmtId="164" fontId="43" fillId="21" borderId="15" xfId="0" applyNumberFormat="1" applyFont="1" applyFill="1" applyBorder="1" applyAlignment="1">
      <alignment horizontal="right" vertical="center"/>
    </xf>
    <xf numFmtId="164" fontId="43" fillId="21" borderId="0" xfId="0" applyNumberFormat="1" applyFont="1" applyFill="1" applyAlignment="1">
      <alignment horizontal="right" vertical="center"/>
    </xf>
    <xf numFmtId="164" fontId="44" fillId="21" borderId="22" xfId="0" applyNumberFormat="1" applyFont="1" applyFill="1" applyBorder="1" applyAlignment="1">
      <alignment horizontal="left"/>
    </xf>
    <xf numFmtId="164" fontId="44" fillId="21" borderId="51" xfId="0" applyNumberFormat="1" applyFont="1" applyFill="1" applyBorder="1" applyAlignment="1">
      <alignment horizontal="left"/>
    </xf>
    <xf numFmtId="164" fontId="44" fillId="0" borderId="0" xfId="0" applyNumberFormat="1" applyFont="1" applyAlignment="1">
      <alignment horizontal="left" vertical="center"/>
    </xf>
    <xf numFmtId="1" fontId="1" fillId="0" borderId="77" xfId="0" applyNumberFormat="1" applyFont="1" applyBorder="1" applyAlignment="1">
      <alignment horizontal="center" vertical="center"/>
    </xf>
    <xf numFmtId="1" fontId="1" fillId="0" borderId="86" xfId="0" applyNumberFormat="1" applyFont="1" applyBorder="1" applyAlignment="1">
      <alignment horizontal="center" vertical="center"/>
    </xf>
    <xf numFmtId="164" fontId="1" fillId="21" borderId="0" xfId="0" applyNumberFormat="1" applyFont="1" applyFill="1" applyAlignment="1">
      <alignment horizontal="center" vertical="center"/>
    </xf>
    <xf numFmtId="164" fontId="1" fillId="21" borderId="72" xfId="0" applyNumberFormat="1" applyFont="1" applyFill="1" applyBorder="1" applyAlignment="1">
      <alignment horizontal="center" vertical="center"/>
    </xf>
    <xf numFmtId="164" fontId="1" fillId="21" borderId="79" xfId="0" applyNumberFormat="1" applyFont="1" applyFill="1" applyBorder="1" applyAlignment="1">
      <alignment horizontal="center" vertical="center"/>
    </xf>
    <xf numFmtId="164" fontId="49" fillId="3" borderId="43" xfId="0" applyNumberFormat="1" applyFont="1" applyFill="1" applyBorder="1" applyAlignment="1">
      <alignment horizontal="center" vertical="center"/>
    </xf>
    <xf numFmtId="0" fontId="49" fillId="3" borderId="38" xfId="0" applyFont="1" applyFill="1" applyBorder="1" applyAlignment="1">
      <alignment vertical="center"/>
    </xf>
    <xf numFmtId="164" fontId="62" fillId="10" borderId="6" xfId="0" applyNumberFormat="1" applyFont="1" applyFill="1" applyBorder="1" applyAlignment="1">
      <alignment horizontal="left" vertical="center"/>
    </xf>
    <xf numFmtId="164" fontId="62" fillId="10" borderId="38" xfId="0" applyNumberFormat="1" applyFont="1" applyFill="1" applyBorder="1" applyAlignment="1">
      <alignment horizontal="left" vertical="center"/>
    </xf>
    <xf numFmtId="164" fontId="1" fillId="21" borderId="70" xfId="0" applyNumberFormat="1" applyFont="1" applyFill="1" applyBorder="1" applyAlignment="1">
      <alignment horizontal="center" vertical="center"/>
    </xf>
    <xf numFmtId="164" fontId="1" fillId="21" borderId="75" xfId="0" applyNumberFormat="1" applyFont="1" applyFill="1" applyBorder="1" applyAlignment="1">
      <alignment horizontal="center" vertical="center"/>
    </xf>
    <xf numFmtId="1" fontId="1" fillId="21" borderId="0" xfId="0" applyNumberFormat="1" applyFont="1" applyFill="1" applyAlignment="1">
      <alignment horizontal="center" vertical="center"/>
    </xf>
    <xf numFmtId="1" fontId="1" fillId="21" borderId="30" xfId="0" applyNumberFormat="1" applyFont="1" applyFill="1" applyBorder="1" applyAlignment="1">
      <alignment horizontal="center" vertical="center"/>
    </xf>
    <xf numFmtId="1" fontId="42" fillId="11" borderId="33" xfId="0" applyNumberFormat="1" applyFont="1" applyFill="1" applyBorder="1" applyAlignment="1">
      <alignment horizontal="right" vertical="center"/>
    </xf>
    <xf numFmtId="1" fontId="42" fillId="11" borderId="1" xfId="0" applyNumberFormat="1" applyFont="1" applyFill="1" applyBorder="1" applyAlignment="1">
      <alignment horizontal="right" vertical="center"/>
    </xf>
    <xf numFmtId="1" fontId="1" fillId="21" borderId="16" xfId="0" applyNumberFormat="1" applyFont="1" applyFill="1" applyBorder="1" applyAlignment="1">
      <alignment horizontal="center" vertical="center"/>
    </xf>
    <xf numFmtId="2" fontId="44" fillId="6" borderId="33" xfId="0" applyNumberFormat="1" applyFont="1" applyFill="1" applyBorder="1" applyAlignment="1">
      <alignment horizontal="center" vertical="center"/>
    </xf>
    <xf numFmtId="2" fontId="44" fillId="6" borderId="1" xfId="0" applyNumberFormat="1" applyFont="1" applyFill="1" applyBorder="1" applyAlignment="1">
      <alignment horizontal="center" vertical="center"/>
    </xf>
    <xf numFmtId="164" fontId="42" fillId="12" borderId="38" xfId="0" applyNumberFormat="1" applyFont="1" applyFill="1" applyBorder="1" applyAlignment="1">
      <alignment horizontal="center" vertical="center"/>
    </xf>
    <xf numFmtId="164" fontId="42" fillId="12" borderId="50" xfId="0" applyNumberFormat="1" applyFont="1" applyFill="1" applyBorder="1" applyAlignment="1">
      <alignment horizontal="center" vertical="center"/>
    </xf>
    <xf numFmtId="164" fontId="40" fillId="6" borderId="43" xfId="0" quotePrefix="1" applyNumberFormat="1" applyFont="1" applyFill="1" applyBorder="1" applyAlignment="1">
      <alignment horizontal="right" vertical="center"/>
    </xf>
    <xf numFmtId="164" fontId="40" fillId="6" borderId="38" xfId="0" applyNumberFormat="1" applyFont="1" applyFill="1" applyBorder="1" applyAlignment="1">
      <alignment horizontal="right" vertical="center"/>
    </xf>
    <xf numFmtId="2" fontId="44" fillId="6" borderId="38" xfId="0" applyNumberFormat="1" applyFont="1" applyFill="1" applyBorder="1" applyAlignment="1">
      <alignment horizontal="center" vertical="center"/>
    </xf>
    <xf numFmtId="2" fontId="44" fillId="6" borderId="2" xfId="0" applyNumberFormat="1" applyFont="1" applyFill="1" applyBorder="1" applyAlignment="1">
      <alignment horizontal="center" vertical="center"/>
    </xf>
    <xf numFmtId="164" fontId="42" fillId="20" borderId="27" xfId="0" applyNumberFormat="1" applyFont="1" applyFill="1" applyBorder="1" applyAlignment="1">
      <alignment horizontal="center" vertical="center"/>
    </xf>
    <xf numFmtId="164" fontId="42" fillId="20" borderId="28" xfId="0" applyNumberFormat="1" applyFont="1" applyFill="1" applyBorder="1" applyAlignment="1">
      <alignment horizontal="center" vertical="center"/>
    </xf>
    <xf numFmtId="2" fontId="44" fillId="14" borderId="27" xfId="0" applyNumberFormat="1" applyFont="1" applyFill="1" applyBorder="1" applyAlignment="1">
      <alignment horizontal="center" vertical="center"/>
    </xf>
    <xf numFmtId="2" fontId="44" fillId="14" borderId="52" xfId="0" applyNumberFormat="1" applyFont="1" applyFill="1" applyBorder="1" applyAlignment="1">
      <alignment horizontal="center" vertical="center"/>
    </xf>
    <xf numFmtId="164" fontId="17" fillId="10" borderId="49" xfId="0" applyNumberFormat="1" applyFont="1" applyFill="1" applyBorder="1" applyAlignment="1">
      <alignment horizontal="left" vertical="top"/>
    </xf>
    <xf numFmtId="164" fontId="17" fillId="10" borderId="46" xfId="0" applyNumberFormat="1" applyFont="1" applyFill="1" applyBorder="1" applyAlignment="1">
      <alignment horizontal="left" vertical="top"/>
    </xf>
    <xf numFmtId="164" fontId="17" fillId="10" borderId="47" xfId="0" applyNumberFormat="1" applyFont="1" applyFill="1" applyBorder="1" applyAlignment="1">
      <alignment horizontal="left" vertical="top"/>
    </xf>
    <xf numFmtId="2" fontId="44" fillId="6" borderId="38" xfId="0" applyNumberFormat="1" applyFont="1" applyFill="1" applyBorder="1" applyAlignment="1">
      <alignment horizontal="center"/>
    </xf>
    <xf numFmtId="2" fontId="44" fillId="6" borderId="2" xfId="0" applyNumberFormat="1" applyFont="1" applyFill="1" applyBorder="1" applyAlignment="1">
      <alignment horizontal="center"/>
    </xf>
    <xf numFmtId="164" fontId="40" fillId="3" borderId="26" xfId="0" applyNumberFormat="1" applyFont="1" applyFill="1" applyBorder="1" applyAlignment="1">
      <alignment horizontal="center" vertical="center"/>
    </xf>
    <xf numFmtId="164" fontId="40" fillId="3" borderId="27" xfId="0" applyNumberFormat="1" applyFont="1" applyFill="1" applyBorder="1" applyAlignment="1">
      <alignment horizontal="center" vertical="center"/>
    </xf>
    <xf numFmtId="164" fontId="0" fillId="0" borderId="22" xfId="0" applyNumberFormat="1" applyBorder="1" applyAlignment="1">
      <alignment horizontal="left" vertical="center" wrapText="1"/>
    </xf>
    <xf numFmtId="164" fontId="42" fillId="12" borderId="27" xfId="0" applyNumberFormat="1" applyFont="1" applyFill="1" applyBorder="1" applyAlignment="1">
      <alignment horizontal="center" vertical="center"/>
    </xf>
    <xf numFmtId="164" fontId="42" fillId="12" borderId="28" xfId="0" applyNumberFormat="1" applyFont="1" applyFill="1" applyBorder="1" applyAlignment="1">
      <alignment horizontal="center" vertical="center"/>
    </xf>
    <xf numFmtId="164" fontId="58" fillId="10" borderId="46" xfId="0" applyNumberFormat="1" applyFont="1" applyFill="1" applyBorder="1" applyAlignment="1">
      <alignment horizontal="center" vertical="center"/>
    </xf>
    <xf numFmtId="164" fontId="58" fillId="10" borderId="47" xfId="0" applyNumberFormat="1" applyFont="1" applyFill="1" applyBorder="1" applyAlignment="1">
      <alignment horizontal="center" vertical="center"/>
    </xf>
    <xf numFmtId="164" fontId="43" fillId="12" borderId="71" xfId="0" applyNumberFormat="1" applyFont="1" applyFill="1" applyBorder="1" applyAlignment="1">
      <alignment horizontal="center" vertical="center"/>
    </xf>
    <xf numFmtId="164" fontId="43" fillId="12" borderId="72" xfId="0" applyNumberFormat="1" applyFont="1" applyFill="1" applyBorder="1" applyAlignment="1">
      <alignment horizontal="center" vertical="center"/>
    </xf>
    <xf numFmtId="164" fontId="43" fillId="12" borderId="73" xfId="0" applyNumberFormat="1" applyFont="1" applyFill="1" applyBorder="1" applyAlignment="1">
      <alignment horizontal="center" vertical="center"/>
    </xf>
    <xf numFmtId="164" fontId="40" fillId="6" borderId="44" xfId="0" applyNumberFormat="1" applyFont="1" applyFill="1" applyBorder="1" applyAlignment="1">
      <alignment horizontal="right" vertical="center"/>
    </xf>
    <xf numFmtId="164" fontId="40" fillId="6" borderId="33" xfId="0" applyNumberFormat="1" applyFont="1" applyFill="1" applyBorder="1" applyAlignment="1">
      <alignment horizontal="right" vertical="center"/>
    </xf>
    <xf numFmtId="164" fontId="40" fillId="6" borderId="43" xfId="0" applyNumberFormat="1" applyFont="1" applyFill="1" applyBorder="1" applyAlignment="1">
      <alignment horizontal="right" vertical="center"/>
    </xf>
    <xf numFmtId="164" fontId="42" fillId="12" borderId="33" xfId="0" applyNumberFormat="1" applyFont="1" applyFill="1" applyBorder="1" applyAlignment="1">
      <alignment horizontal="center" vertical="center"/>
    </xf>
    <xf numFmtId="164" fontId="42" fillId="12" borderId="45" xfId="0" applyNumberFormat="1" applyFont="1" applyFill="1" applyBorder="1" applyAlignment="1">
      <alignment horizontal="center" vertical="center"/>
    </xf>
    <xf numFmtId="164" fontId="40" fillId="6" borderId="44" xfId="0" quotePrefix="1" applyNumberFormat="1" applyFont="1" applyFill="1" applyBorder="1" applyAlignment="1">
      <alignment horizontal="right" vertical="center"/>
    </xf>
    <xf numFmtId="164" fontId="40" fillId="3" borderId="43" xfId="0" applyNumberFormat="1" applyFont="1" applyFill="1" applyBorder="1" applyAlignment="1">
      <alignment horizontal="center"/>
    </xf>
    <xf numFmtId="164" fontId="40" fillId="3" borderId="38" xfId="0" applyNumberFormat="1" applyFont="1" applyFill="1" applyBorder="1" applyAlignment="1">
      <alignment horizontal="center"/>
    </xf>
    <xf numFmtId="164" fontId="40" fillId="3" borderId="43" xfId="0" applyNumberFormat="1" applyFont="1" applyFill="1" applyBorder="1" applyAlignment="1">
      <alignment horizontal="center" vertical="center"/>
    </xf>
    <xf numFmtId="164" fontId="40" fillId="3" borderId="38" xfId="0" applyNumberFormat="1" applyFont="1" applyFill="1" applyBorder="1" applyAlignment="1">
      <alignment horizontal="center" vertical="center"/>
    </xf>
    <xf numFmtId="164" fontId="42" fillId="12" borderId="38" xfId="0" applyNumberFormat="1" applyFont="1" applyFill="1" applyBorder="1" applyAlignment="1">
      <alignment horizontal="center"/>
    </xf>
    <xf numFmtId="164" fontId="42" fillId="12" borderId="50" xfId="0" applyNumberFormat="1" applyFont="1" applyFill="1" applyBorder="1" applyAlignment="1">
      <alignment horizontal="center"/>
    </xf>
    <xf numFmtId="164" fontId="40" fillId="6" borderId="43" xfId="0" quotePrefix="1" applyNumberFormat="1" applyFont="1" applyFill="1" applyBorder="1" applyAlignment="1">
      <alignment horizontal="right"/>
    </xf>
    <xf numFmtId="164" fontId="40" fillId="6" borderId="38" xfId="0" applyNumberFormat="1" applyFont="1" applyFill="1" applyBorder="1" applyAlignment="1">
      <alignment horizontal="right"/>
    </xf>
    <xf numFmtId="164" fontId="0" fillId="0" borderId="65" xfId="0" applyNumberFormat="1" applyBorder="1" applyAlignment="1">
      <alignment horizontal="left" vertical="center" wrapText="1"/>
    </xf>
    <xf numFmtId="164" fontId="0" fillId="0" borderId="67" xfId="0" applyNumberFormat="1" applyBorder="1" applyAlignment="1">
      <alignment horizontal="left" vertical="center" wrapText="1"/>
    </xf>
    <xf numFmtId="164" fontId="17" fillId="8" borderId="46" xfId="0" applyNumberFormat="1" applyFont="1" applyFill="1" applyBorder="1" applyAlignment="1">
      <alignment horizontal="left" vertical="center"/>
    </xf>
    <xf numFmtId="164" fontId="17" fillId="8" borderId="47" xfId="0" applyNumberFormat="1" applyFont="1" applyFill="1" applyBorder="1" applyAlignment="1">
      <alignment horizontal="left" vertical="center"/>
    </xf>
    <xf numFmtId="164" fontId="2" fillId="0" borderId="0" xfId="0" applyNumberFormat="1" applyFont="1" applyAlignment="1">
      <alignment horizontal="left" vertical="center"/>
    </xf>
    <xf numFmtId="164" fontId="0" fillId="0" borderId="31" xfId="0" applyNumberFormat="1" applyBorder="1" applyAlignment="1">
      <alignment horizontal="left" vertical="center" wrapText="1"/>
    </xf>
    <xf numFmtId="164" fontId="40" fillId="6" borderId="43" xfId="0" quotePrefix="1" applyNumberFormat="1" applyFont="1" applyFill="1" applyBorder="1" applyAlignment="1">
      <alignment horizontal="center" vertical="center"/>
    </xf>
    <xf numFmtId="164" fontId="40" fillId="6" borderId="38" xfId="0" quotePrefix="1" applyNumberFormat="1" applyFont="1" applyFill="1" applyBorder="1" applyAlignment="1">
      <alignment horizontal="center" vertical="center"/>
    </xf>
    <xf numFmtId="2" fontId="44" fillId="14" borderId="38" xfId="0" applyNumberFormat="1" applyFont="1" applyFill="1" applyBorder="1" applyAlignment="1">
      <alignment horizontal="center"/>
    </xf>
    <xf numFmtId="2" fontId="44" fillId="14" borderId="2" xfId="0" applyNumberFormat="1" applyFont="1" applyFill="1" applyBorder="1" applyAlignment="1">
      <alignment horizontal="center"/>
    </xf>
    <xf numFmtId="164" fontId="1" fillId="0" borderId="0" xfId="0" applyNumberFormat="1" applyFont="1" applyAlignment="1">
      <alignment horizontal="center" vertical="center"/>
    </xf>
    <xf numFmtId="164" fontId="52" fillId="21" borderId="69" xfId="0" applyNumberFormat="1" applyFont="1" applyFill="1" applyBorder="1" applyAlignment="1">
      <alignment horizontal="right" vertical="center"/>
    </xf>
    <xf numFmtId="164" fontId="52" fillId="21" borderId="70" xfId="0" applyNumberFormat="1" applyFont="1" applyFill="1" applyBorder="1" applyAlignment="1">
      <alignment horizontal="right" vertical="center"/>
    </xf>
    <xf numFmtId="164" fontId="2" fillId="6" borderId="15" xfId="0" applyNumberFormat="1" applyFont="1" applyFill="1" applyBorder="1" applyAlignment="1">
      <alignment horizontal="right" vertical="center"/>
    </xf>
    <xf numFmtId="164" fontId="52" fillId="6" borderId="0" xfId="0" applyNumberFormat="1" applyFont="1" applyFill="1" applyAlignment="1">
      <alignment horizontal="right" vertical="center"/>
    </xf>
    <xf numFmtId="164" fontId="52" fillId="21" borderId="112" xfId="0" applyNumberFormat="1" applyFont="1" applyFill="1" applyBorder="1" applyAlignment="1">
      <alignment horizontal="right" vertical="center"/>
    </xf>
    <xf numFmtId="164" fontId="52" fillId="21" borderId="113" xfId="0" applyNumberFormat="1" applyFont="1" applyFill="1" applyBorder="1" applyAlignment="1">
      <alignment horizontal="right" vertical="center"/>
    </xf>
    <xf numFmtId="164" fontId="52" fillId="6" borderId="15" xfId="0" applyNumberFormat="1" applyFont="1" applyFill="1" applyBorder="1" applyAlignment="1">
      <alignment horizontal="right" vertical="center"/>
    </xf>
    <xf numFmtId="164" fontId="2" fillId="6" borderId="19" xfId="0" applyNumberFormat="1" applyFont="1" applyFill="1" applyBorder="1" applyAlignment="1">
      <alignment horizontal="right" vertical="center"/>
    </xf>
    <xf numFmtId="164" fontId="52" fillId="6" borderId="31" xfId="0" applyNumberFormat="1" applyFont="1" applyFill="1" applyBorder="1" applyAlignment="1">
      <alignment horizontal="right" vertical="center"/>
    </xf>
    <xf numFmtId="1" fontId="1" fillId="21" borderId="22" xfId="0" applyNumberFormat="1" applyFont="1" applyFill="1" applyBorder="1" applyAlignment="1">
      <alignment horizontal="center" vertical="center"/>
    </xf>
    <xf numFmtId="1" fontId="1" fillId="21" borderId="51" xfId="0" applyNumberFormat="1" applyFont="1" applyFill="1" applyBorder="1" applyAlignment="1">
      <alignment horizontal="center" vertical="center"/>
    </xf>
    <xf numFmtId="1" fontId="1" fillId="21" borderId="27" xfId="0" applyNumberFormat="1" applyFont="1" applyFill="1" applyBorder="1" applyAlignment="1">
      <alignment horizontal="center" vertical="center"/>
    </xf>
    <xf numFmtId="1" fontId="1" fillId="21" borderId="52" xfId="0" applyNumberFormat="1" applyFont="1" applyFill="1" applyBorder="1" applyAlignment="1">
      <alignment horizontal="center" vertical="center"/>
    </xf>
    <xf numFmtId="1" fontId="1" fillId="21" borderId="81" xfId="0" applyNumberFormat="1" applyFont="1" applyFill="1" applyBorder="1" applyAlignment="1">
      <alignment horizontal="center" vertical="center"/>
    </xf>
    <xf numFmtId="1" fontId="1" fillId="21" borderId="87" xfId="0" applyNumberFormat="1" applyFont="1" applyFill="1" applyBorder="1" applyAlignment="1">
      <alignment horizontal="center" vertical="center"/>
    </xf>
    <xf numFmtId="164" fontId="1" fillId="25" borderId="70" xfId="0" applyNumberFormat="1" applyFont="1" applyFill="1" applyBorder="1" applyAlignment="1">
      <alignment horizontal="center" vertical="center"/>
    </xf>
    <xf numFmtId="164" fontId="1" fillId="25" borderId="75" xfId="0" applyNumberFormat="1" applyFont="1" applyFill="1" applyBorder="1" applyAlignment="1">
      <alignment horizontal="center" vertical="center"/>
    </xf>
    <xf numFmtId="1" fontId="1" fillId="0" borderId="0" xfId="0" applyNumberFormat="1" applyFont="1" applyAlignment="1">
      <alignment horizontal="center" vertical="center"/>
    </xf>
    <xf numFmtId="1" fontId="1" fillId="0" borderId="30" xfId="0" applyNumberFormat="1" applyFont="1" applyBorder="1" applyAlignment="1">
      <alignment horizontal="center" vertical="center"/>
    </xf>
    <xf numFmtId="164" fontId="2" fillId="21" borderId="15" xfId="0" applyNumberFormat="1" applyFont="1" applyFill="1" applyBorder="1" applyAlignment="1">
      <alignment horizontal="right" vertical="center"/>
    </xf>
    <xf numFmtId="164" fontId="0" fillId="21" borderId="0" xfId="0" applyNumberFormat="1" applyFill="1" applyAlignment="1">
      <alignment horizontal="right" vertical="center"/>
    </xf>
    <xf numFmtId="164" fontId="0" fillId="21" borderId="76" xfId="0" applyNumberFormat="1" applyFill="1" applyBorder="1" applyAlignment="1">
      <alignment horizontal="right" vertical="center"/>
    </xf>
    <xf numFmtId="164" fontId="0" fillId="21" borderId="77" xfId="0" applyNumberFormat="1" applyFill="1" applyBorder="1" applyAlignment="1">
      <alignment horizontal="right" vertical="center"/>
    </xf>
    <xf numFmtId="164" fontId="0" fillId="21" borderId="15" xfId="0" applyNumberFormat="1" applyFill="1" applyBorder="1" applyAlignment="1">
      <alignment horizontal="right" vertical="center"/>
    </xf>
    <xf numFmtId="164" fontId="0" fillId="21" borderId="69" xfId="0" applyNumberFormat="1" applyFill="1" applyBorder="1" applyAlignment="1">
      <alignment horizontal="right" vertical="center"/>
    </xf>
    <xf numFmtId="164" fontId="0" fillId="21" borderId="70" xfId="0" applyNumberFormat="1" applyFill="1" applyBorder="1" applyAlignment="1">
      <alignment horizontal="right" vertical="center"/>
    </xf>
    <xf numFmtId="164" fontId="1" fillId="11" borderId="5" xfId="0" applyNumberFormat="1" applyFont="1" applyFill="1" applyBorder="1" applyAlignment="1">
      <alignment horizontal="left" vertical="center"/>
    </xf>
    <xf numFmtId="164" fontId="1" fillId="11" borderId="33" xfId="0" applyNumberFormat="1" applyFont="1" applyFill="1" applyBorder="1" applyAlignment="1">
      <alignment horizontal="left" vertical="center"/>
    </xf>
    <xf numFmtId="1" fontId="42" fillId="15" borderId="22" xfId="0" applyNumberFormat="1" applyFont="1" applyFill="1" applyBorder="1" applyAlignment="1">
      <alignment horizontal="center"/>
    </xf>
    <xf numFmtId="1" fontId="42" fillId="15" borderId="51" xfId="0" applyNumberFormat="1" applyFont="1" applyFill="1" applyBorder="1" applyAlignment="1">
      <alignment horizontal="center"/>
    </xf>
    <xf numFmtId="164" fontId="40" fillId="6" borderId="43" xfId="0" applyNumberFormat="1" applyFont="1" applyFill="1" applyBorder="1" applyAlignment="1">
      <alignment horizontal="right"/>
    </xf>
    <xf numFmtId="164" fontId="0" fillId="0" borderId="27" xfId="0" applyNumberFormat="1" applyBorder="1" applyAlignment="1">
      <alignment horizontal="left" vertical="center" wrapText="1"/>
    </xf>
    <xf numFmtId="164" fontId="40" fillId="6" borderId="44" xfId="0" quotePrefix="1" applyNumberFormat="1" applyFont="1" applyFill="1" applyBorder="1" applyAlignment="1">
      <alignment horizontal="center" vertical="center"/>
    </xf>
    <xf numFmtId="164" fontId="40" fillId="6" borderId="33" xfId="0" quotePrefix="1" applyNumberFormat="1" applyFont="1" applyFill="1" applyBorder="1" applyAlignment="1">
      <alignment horizontal="center" vertical="center"/>
    </xf>
    <xf numFmtId="164" fontId="44" fillId="6" borderId="33" xfId="0" applyNumberFormat="1" applyFont="1" applyFill="1" applyBorder="1" applyAlignment="1">
      <alignment horizontal="center" vertical="center"/>
    </xf>
    <xf numFmtId="164" fontId="44" fillId="6" borderId="1" xfId="0" applyNumberFormat="1" applyFont="1" applyFill="1" applyBorder="1" applyAlignment="1">
      <alignment horizontal="center" vertical="center"/>
    </xf>
    <xf numFmtId="164" fontId="40" fillId="3" borderId="44" xfId="0" applyNumberFormat="1" applyFont="1" applyFill="1" applyBorder="1" applyAlignment="1">
      <alignment horizontal="center" vertical="center"/>
    </xf>
    <xf numFmtId="164" fontId="40" fillId="3" borderId="33" xfId="0" applyNumberFormat="1" applyFont="1" applyFill="1" applyBorder="1" applyAlignment="1">
      <alignment horizontal="center" vertical="center"/>
    </xf>
    <xf numFmtId="164" fontId="42" fillId="11" borderId="33" xfId="0" applyNumberFormat="1" applyFont="1" applyFill="1" applyBorder="1" applyAlignment="1">
      <alignment horizontal="center" vertical="center"/>
    </xf>
    <xf numFmtId="164" fontId="42" fillId="11" borderId="45" xfId="0" applyNumberFormat="1" applyFont="1" applyFill="1" applyBorder="1" applyAlignment="1">
      <alignment horizontal="center" vertical="center"/>
    </xf>
    <xf numFmtId="2" fontId="44" fillId="14" borderId="33" xfId="0" applyNumberFormat="1" applyFont="1" applyFill="1" applyBorder="1" applyAlignment="1">
      <alignment horizontal="center" vertical="center"/>
    </xf>
    <xf numFmtId="2" fontId="44" fillId="14" borderId="1" xfId="0" applyNumberFormat="1" applyFont="1" applyFill="1" applyBorder="1" applyAlignment="1">
      <alignment horizontal="center" vertical="center"/>
    </xf>
    <xf numFmtId="164" fontId="0" fillId="0" borderId="22" xfId="0" applyNumberFormat="1" applyBorder="1" applyAlignment="1">
      <alignment horizontal="left" vertical="top" wrapText="1"/>
    </xf>
    <xf numFmtId="164" fontId="2" fillId="0" borderId="0" xfId="0" applyNumberFormat="1" applyFont="1" applyAlignment="1">
      <alignment horizontal="left" vertical="top" wrapText="1"/>
    </xf>
    <xf numFmtId="1" fontId="44" fillId="6" borderId="33" xfId="0" applyNumberFormat="1" applyFont="1" applyFill="1" applyBorder="1" applyAlignment="1">
      <alignment horizontal="center"/>
    </xf>
    <xf numFmtId="1" fontId="44" fillId="6" borderId="1" xfId="0" applyNumberFormat="1" applyFont="1" applyFill="1" applyBorder="1" applyAlignment="1">
      <alignment horizontal="center"/>
    </xf>
    <xf numFmtId="164" fontId="0" fillId="0" borderId="31" xfId="0" applyNumberFormat="1" applyBorder="1" applyAlignment="1">
      <alignment horizontal="left" vertical="top" wrapText="1"/>
    </xf>
    <xf numFmtId="1" fontId="44" fillId="6" borderId="38" xfId="0" applyNumberFormat="1" applyFont="1" applyFill="1" applyBorder="1" applyAlignment="1">
      <alignment horizontal="center"/>
    </xf>
    <xf numFmtId="1" fontId="44" fillId="6" borderId="2" xfId="0" applyNumberFormat="1" applyFont="1" applyFill="1" applyBorder="1" applyAlignment="1">
      <alignment horizontal="center"/>
    </xf>
    <xf numFmtId="164" fontId="0" fillId="0" borderId="22" xfId="0" applyNumberFormat="1" applyBorder="1" applyAlignment="1">
      <alignment horizontal="left" vertical="center"/>
    </xf>
    <xf numFmtId="164" fontId="40" fillId="6" borderId="44" xfId="0" applyNumberFormat="1" applyFont="1" applyFill="1" applyBorder="1" applyAlignment="1">
      <alignment horizontal="right"/>
    </xf>
    <xf numFmtId="164" fontId="40" fillId="6" borderId="33" xfId="0" applyNumberFormat="1" applyFont="1" applyFill="1" applyBorder="1" applyAlignment="1">
      <alignment horizontal="right"/>
    </xf>
    <xf numFmtId="164" fontId="1" fillId="21" borderId="31" xfId="0" applyNumberFormat="1" applyFont="1" applyFill="1" applyBorder="1" applyAlignment="1">
      <alignment horizontal="center" vertical="center"/>
    </xf>
    <xf numFmtId="164" fontId="2" fillId="21" borderId="19" xfId="0" applyNumberFormat="1" applyFont="1" applyFill="1" applyBorder="1" applyAlignment="1">
      <alignment horizontal="right" vertical="center"/>
    </xf>
    <xf numFmtId="164" fontId="0" fillId="21" borderId="31" xfId="0" applyNumberFormat="1" applyFill="1" applyBorder="1" applyAlignment="1">
      <alignment horizontal="right" vertical="center"/>
    </xf>
    <xf numFmtId="164" fontId="2" fillId="21" borderId="15" xfId="0" quotePrefix="1" applyNumberFormat="1" applyFont="1" applyFill="1" applyBorder="1" applyAlignment="1">
      <alignment horizontal="right" vertical="center"/>
    </xf>
    <xf numFmtId="164" fontId="0" fillId="21" borderId="0" xfId="0" quotePrefix="1" applyNumberFormat="1" applyFill="1" applyAlignment="1">
      <alignment horizontal="right" vertical="center"/>
    </xf>
    <xf numFmtId="1" fontId="1" fillId="21" borderId="31" xfId="0" applyNumberFormat="1" applyFont="1" applyFill="1" applyBorder="1" applyAlignment="1">
      <alignment horizontal="center" vertical="center"/>
    </xf>
    <xf numFmtId="1" fontId="1" fillId="21" borderId="32" xfId="0" applyNumberFormat="1" applyFont="1" applyFill="1" applyBorder="1" applyAlignment="1">
      <alignment horizontal="center" vertical="center"/>
    </xf>
    <xf numFmtId="164" fontId="0" fillId="21" borderId="48" xfId="0" applyNumberFormat="1" applyFill="1" applyBorder="1" applyAlignment="1">
      <alignment horizontal="right" vertical="center"/>
    </xf>
    <xf numFmtId="164" fontId="0" fillId="21" borderId="22" xfId="0" applyNumberFormat="1" applyFill="1" applyBorder="1" applyAlignment="1">
      <alignment horizontal="right" vertical="center"/>
    </xf>
    <xf numFmtId="164" fontId="52" fillId="21" borderId="19" xfId="0" applyNumberFormat="1" applyFont="1" applyFill="1" applyBorder="1" applyAlignment="1">
      <alignment horizontal="right" vertical="center"/>
    </xf>
    <xf numFmtId="164" fontId="42" fillId="22" borderId="48" xfId="0" applyNumberFormat="1" applyFont="1" applyFill="1" applyBorder="1" applyAlignment="1">
      <alignment horizontal="center"/>
    </xf>
    <xf numFmtId="164" fontId="42" fillId="22" borderId="22" xfId="0" applyNumberFormat="1" applyFont="1" applyFill="1" applyBorder="1" applyAlignment="1">
      <alignment horizontal="center"/>
    </xf>
    <xf numFmtId="164" fontId="42" fillId="22" borderId="24" xfId="0" applyNumberFormat="1" applyFont="1" applyFill="1" applyBorder="1" applyAlignment="1">
      <alignment horizontal="center"/>
    </xf>
    <xf numFmtId="0" fontId="65" fillId="22" borderId="53" xfId="0" applyFont="1" applyFill="1" applyBorder="1" applyAlignment="1">
      <alignment horizontal="center" vertical="top"/>
    </xf>
    <xf numFmtId="0" fontId="65" fillId="22" borderId="27" xfId="0" applyFont="1" applyFill="1" applyBorder="1" applyAlignment="1">
      <alignment horizontal="center" vertical="top"/>
    </xf>
    <xf numFmtId="0" fontId="65" fillId="22" borderId="28" xfId="0" applyFont="1" applyFill="1" applyBorder="1" applyAlignment="1">
      <alignment horizontal="center" vertical="top"/>
    </xf>
    <xf numFmtId="0" fontId="44" fillId="0" borderId="48" xfId="0" applyFont="1" applyBorder="1" applyAlignment="1">
      <alignment horizontal="left" vertical="top" wrapText="1"/>
    </xf>
    <xf numFmtId="0" fontId="44" fillId="0" borderId="22" xfId="0" applyFont="1" applyBorder="1" applyAlignment="1">
      <alignment horizontal="left" vertical="top" wrapText="1"/>
    </xf>
    <xf numFmtId="0" fontId="44" fillId="0" borderId="51" xfId="0" applyFont="1" applyBorder="1" applyAlignment="1">
      <alignment horizontal="left" vertical="top" wrapText="1"/>
    </xf>
    <xf numFmtId="0" fontId="44" fillId="0" borderId="15" xfId="0" applyFont="1" applyBorder="1" applyAlignment="1">
      <alignment horizontal="left" vertical="top" wrapText="1"/>
    </xf>
    <xf numFmtId="0" fontId="44" fillId="0" borderId="0" xfId="0" applyFont="1" applyAlignment="1">
      <alignment horizontal="left" vertical="top" wrapText="1"/>
    </xf>
    <xf numFmtId="0" fontId="44" fillId="0" borderId="30" xfId="0" applyFont="1" applyBorder="1" applyAlignment="1">
      <alignment horizontal="left" vertical="top" wrapText="1"/>
    </xf>
    <xf numFmtId="0" fontId="44" fillId="0" borderId="53" xfId="0" applyFont="1" applyBorder="1" applyAlignment="1">
      <alignment horizontal="left" vertical="top" wrapText="1"/>
    </xf>
    <xf numFmtId="0" fontId="44" fillId="0" borderId="27" xfId="0" applyFont="1" applyBorder="1" applyAlignment="1">
      <alignment horizontal="left" vertical="top" wrapText="1"/>
    </xf>
    <xf numFmtId="0" fontId="44" fillId="0" borderId="52" xfId="0" applyFont="1" applyBorder="1" applyAlignment="1">
      <alignment horizontal="left" vertical="top" wrapText="1"/>
    </xf>
    <xf numFmtId="164" fontId="0" fillId="21" borderId="15" xfId="0" quotePrefix="1" applyNumberFormat="1" applyFill="1" applyBorder="1" applyAlignment="1">
      <alignment horizontal="right" vertical="center"/>
    </xf>
    <xf numFmtId="1" fontId="1" fillId="0" borderId="70" xfId="0" applyNumberFormat="1" applyFont="1" applyBorder="1" applyAlignment="1">
      <alignment horizontal="center" vertical="center"/>
    </xf>
    <xf numFmtId="1" fontId="1" fillId="0" borderId="74" xfId="0" applyNumberFormat="1" applyFont="1" applyBorder="1" applyAlignment="1">
      <alignment horizontal="center" vertical="center"/>
    </xf>
    <xf numFmtId="164" fontId="1" fillId="25" borderId="0" xfId="0" applyNumberFormat="1" applyFont="1" applyFill="1" applyAlignment="1">
      <alignment horizontal="center" vertical="center"/>
    </xf>
    <xf numFmtId="164" fontId="1" fillId="25" borderId="16" xfId="0" applyNumberFormat="1" applyFont="1" applyFill="1" applyBorder="1" applyAlignment="1">
      <alignment horizontal="center" vertical="center"/>
    </xf>
    <xf numFmtId="164" fontId="2" fillId="25" borderId="15" xfId="0" applyNumberFormat="1" applyFont="1" applyFill="1" applyBorder="1" applyAlignment="1">
      <alignment horizontal="right" vertical="center"/>
    </xf>
    <xf numFmtId="164" fontId="2" fillId="25" borderId="0" xfId="0" applyNumberFormat="1" applyFont="1" applyFill="1" applyAlignment="1">
      <alignment horizontal="right" vertical="center"/>
    </xf>
    <xf numFmtId="164" fontId="0" fillId="25" borderId="0" xfId="0" applyNumberFormat="1" applyFill="1" applyAlignment="1">
      <alignment horizontal="right" vertical="center"/>
    </xf>
    <xf numFmtId="164" fontId="0" fillId="25" borderId="15" xfId="0" applyNumberFormat="1" applyFill="1" applyBorder="1" applyAlignment="1">
      <alignment horizontal="right" vertical="center"/>
    </xf>
    <xf numFmtId="164" fontId="40" fillId="6" borderId="0" xfId="0" applyNumberFormat="1" applyFont="1" applyFill="1" applyAlignment="1">
      <alignment horizontal="center" vertical="center"/>
    </xf>
    <xf numFmtId="164" fontId="40" fillId="6" borderId="16" xfId="0" applyNumberFormat="1" applyFont="1" applyFill="1" applyBorder="1" applyAlignment="1">
      <alignment horizontal="center" vertical="center"/>
    </xf>
    <xf numFmtId="1" fontId="1" fillId="25" borderId="0" xfId="0" quotePrefix="1" applyNumberFormat="1" applyFont="1" applyFill="1" applyAlignment="1">
      <alignment horizontal="center" vertical="center"/>
    </xf>
    <xf numFmtId="1" fontId="1" fillId="25" borderId="16" xfId="0" quotePrefix="1" applyNumberFormat="1" applyFont="1" applyFill="1" applyBorder="1" applyAlignment="1">
      <alignment horizontal="center" vertical="center"/>
    </xf>
    <xf numFmtId="1" fontId="1" fillId="25" borderId="0" xfId="0" applyNumberFormat="1" applyFont="1" applyFill="1" applyAlignment="1">
      <alignment horizontal="center" vertical="center"/>
    </xf>
    <xf numFmtId="1" fontId="1" fillId="25" borderId="16" xfId="0" applyNumberFormat="1" applyFont="1" applyFill="1" applyBorder="1" applyAlignment="1">
      <alignment horizontal="center" vertical="center"/>
    </xf>
    <xf numFmtId="164" fontId="2" fillId="21" borderId="83" xfId="0" applyNumberFormat="1" applyFont="1" applyFill="1" applyBorder="1" applyAlignment="1">
      <alignment horizontal="right" vertical="center"/>
    </xf>
    <xf numFmtId="164" fontId="0" fillId="21" borderId="84" xfId="0" applyNumberFormat="1" applyFill="1" applyBorder="1" applyAlignment="1">
      <alignment horizontal="right" vertical="center"/>
    </xf>
    <xf numFmtId="164" fontId="58" fillId="22" borderId="6" xfId="0" applyNumberFormat="1" applyFont="1" applyFill="1" applyBorder="1" applyAlignment="1">
      <alignment horizontal="center" vertical="center"/>
    </xf>
    <xf numFmtId="164" fontId="58" fillId="22" borderId="38" xfId="0" applyNumberFormat="1" applyFont="1" applyFill="1" applyBorder="1" applyAlignment="1">
      <alignment horizontal="center" vertical="center"/>
    </xf>
    <xf numFmtId="164" fontId="58" fillId="22" borderId="50" xfId="0" applyNumberFormat="1" applyFont="1" applyFill="1" applyBorder="1" applyAlignment="1">
      <alignment horizontal="center" vertical="center"/>
    </xf>
    <xf numFmtId="164" fontId="42" fillId="22" borderId="6" xfId="0" applyNumberFormat="1" applyFont="1" applyFill="1" applyBorder="1" applyAlignment="1">
      <alignment horizontal="center" vertical="center"/>
    </xf>
    <xf numFmtId="164" fontId="42" fillId="22" borderId="50" xfId="0" applyNumberFormat="1" applyFont="1" applyFill="1" applyBorder="1" applyAlignment="1">
      <alignment horizontal="center" vertical="center"/>
    </xf>
    <xf numFmtId="164" fontId="50" fillId="0" borderId="72" xfId="0" applyNumberFormat="1" applyFont="1" applyBorder="1" applyAlignment="1">
      <alignment horizontal="center" vertical="center"/>
    </xf>
    <xf numFmtId="164" fontId="50" fillId="0" borderId="79" xfId="0" applyNumberFormat="1" applyFont="1" applyBorder="1" applyAlignment="1">
      <alignment horizontal="center" vertical="center"/>
    </xf>
    <xf numFmtId="164" fontId="58" fillId="6" borderId="43" xfId="0" applyNumberFormat="1" applyFont="1" applyFill="1" applyBorder="1" applyAlignment="1">
      <alignment horizontal="center" vertical="center"/>
    </xf>
    <xf numFmtId="164" fontId="58" fillId="6" borderId="50" xfId="0" applyNumberFormat="1" applyFont="1" applyFill="1" applyBorder="1" applyAlignment="1">
      <alignment horizontal="center" vertical="center"/>
    </xf>
    <xf numFmtId="164" fontId="1" fillId="21" borderId="22" xfId="0" applyNumberFormat="1" applyFont="1" applyFill="1" applyBorder="1" applyAlignment="1">
      <alignment horizontal="center" vertical="center"/>
    </xf>
    <xf numFmtId="164" fontId="1" fillId="21" borderId="84" xfId="0" applyNumberFormat="1" applyFont="1" applyFill="1" applyBorder="1" applyAlignment="1">
      <alignment horizontal="center" vertical="center"/>
    </xf>
    <xf numFmtId="164" fontId="1" fillId="21" borderId="85" xfId="0" applyNumberFormat="1" applyFont="1" applyFill="1" applyBorder="1" applyAlignment="1">
      <alignment horizontal="center" vertical="center"/>
    </xf>
    <xf numFmtId="1" fontId="1" fillId="25" borderId="70" xfId="0" applyNumberFormat="1" applyFont="1" applyFill="1" applyBorder="1" applyAlignment="1">
      <alignment horizontal="center" vertical="center"/>
    </xf>
    <xf numFmtId="1" fontId="1" fillId="25" borderId="75" xfId="0" applyNumberFormat="1" applyFont="1" applyFill="1" applyBorder="1" applyAlignment="1">
      <alignment horizontal="center" vertical="center"/>
    </xf>
    <xf numFmtId="1" fontId="1" fillId="21" borderId="84" xfId="0" applyNumberFormat="1" applyFont="1" applyFill="1" applyBorder="1" applyAlignment="1">
      <alignment horizontal="center" vertical="center"/>
    </xf>
    <xf numFmtId="1" fontId="1" fillId="21" borderId="85" xfId="0" applyNumberFormat="1" applyFont="1" applyFill="1" applyBorder="1" applyAlignment="1">
      <alignment horizontal="center" vertical="center"/>
    </xf>
    <xf numFmtId="164" fontId="1" fillId="21" borderId="16" xfId="0" applyNumberFormat="1" applyFont="1" applyFill="1" applyBorder="1" applyAlignment="1">
      <alignment horizontal="center" vertical="center"/>
    </xf>
    <xf numFmtId="1" fontId="40" fillId="6" borderId="0" xfId="0" applyNumberFormat="1" applyFont="1" applyFill="1" applyAlignment="1">
      <alignment horizontal="center" vertical="center"/>
    </xf>
    <xf numFmtId="1" fontId="40" fillId="6" borderId="16" xfId="0" applyNumberFormat="1" applyFont="1" applyFill="1" applyBorder="1" applyAlignment="1">
      <alignment horizontal="center" vertical="center"/>
    </xf>
    <xf numFmtId="164" fontId="44" fillId="25" borderId="15" xfId="0" applyNumberFormat="1" applyFont="1" applyFill="1" applyBorder="1" applyAlignment="1">
      <alignment horizontal="left" vertical="top" wrapText="1"/>
    </xf>
    <xf numFmtId="164" fontId="44" fillId="25" borderId="0" xfId="0" applyNumberFormat="1" applyFont="1" applyFill="1" applyAlignment="1">
      <alignment horizontal="left" vertical="top" wrapText="1"/>
    </xf>
    <xf numFmtId="164" fontId="44" fillId="25" borderId="69" xfId="0" applyNumberFormat="1" applyFont="1" applyFill="1" applyBorder="1" applyAlignment="1">
      <alignment horizontal="left" vertical="top" wrapText="1"/>
    </xf>
    <xf numFmtId="164" fontId="44" fillId="25" borderId="70" xfId="0" applyNumberFormat="1" applyFont="1" applyFill="1" applyBorder="1" applyAlignment="1">
      <alignment horizontal="left" vertical="top" wrapText="1"/>
    </xf>
    <xf numFmtId="164" fontId="3" fillId="14" borderId="6" xfId="0" applyNumberFormat="1" applyFont="1" applyFill="1" applyBorder="1" applyAlignment="1">
      <alignment horizontal="left"/>
    </xf>
    <xf numFmtId="164" fontId="3" fillId="14" borderId="38" xfId="0" applyNumberFormat="1" applyFont="1" applyFill="1" applyBorder="1" applyAlignment="1">
      <alignment horizontal="left"/>
    </xf>
    <xf numFmtId="164" fontId="1" fillId="21" borderId="0" xfId="0" applyNumberFormat="1" applyFont="1" applyFill="1" applyAlignment="1">
      <alignment horizontal="right"/>
    </xf>
    <xf numFmtId="164" fontId="42" fillId="22" borderId="38" xfId="0" applyNumberFormat="1" applyFont="1" applyFill="1" applyBorder="1" applyAlignment="1">
      <alignment horizontal="center" vertical="center"/>
    </xf>
    <xf numFmtId="1" fontId="1" fillId="21" borderId="70" xfId="0" applyNumberFormat="1" applyFont="1" applyFill="1" applyBorder="1" applyAlignment="1">
      <alignment horizontal="center" vertical="center"/>
    </xf>
    <xf numFmtId="1" fontId="1" fillId="21" borderId="75" xfId="0" applyNumberFormat="1" applyFont="1" applyFill="1" applyBorder="1" applyAlignment="1">
      <alignment horizontal="center" vertical="center"/>
    </xf>
    <xf numFmtId="164" fontId="3" fillId="18" borderId="6" xfId="0" applyNumberFormat="1" applyFont="1" applyFill="1" applyBorder="1" applyAlignment="1">
      <alignment horizontal="left" vertical="center"/>
    </xf>
    <xf numFmtId="164" fontId="3" fillId="18" borderId="38" xfId="0" applyNumberFormat="1" applyFont="1" applyFill="1" applyBorder="1" applyAlignment="1">
      <alignment horizontal="left" vertical="center"/>
    </xf>
    <xf numFmtId="164" fontId="85" fillId="21" borderId="15" xfId="0" applyNumberFormat="1" applyFont="1" applyFill="1" applyBorder="1" applyAlignment="1">
      <alignment horizontal="center" vertical="center"/>
    </xf>
    <xf numFmtId="164" fontId="85" fillId="21" borderId="0" xfId="0" applyNumberFormat="1" applyFont="1" applyFill="1" applyAlignment="1">
      <alignment horizontal="center" vertical="center"/>
    </xf>
    <xf numFmtId="164" fontId="85" fillId="21" borderId="30" xfId="0" applyNumberFormat="1" applyFont="1" applyFill="1" applyBorder="1" applyAlignment="1">
      <alignment horizontal="center" vertical="center"/>
    </xf>
    <xf numFmtId="164" fontId="52" fillId="21" borderId="76" xfId="0" applyNumberFormat="1" applyFont="1" applyFill="1" applyBorder="1" applyAlignment="1">
      <alignment horizontal="right" vertical="center"/>
    </xf>
    <xf numFmtId="164" fontId="52" fillId="21" borderId="77" xfId="0" applyNumberFormat="1" applyFont="1" applyFill="1" applyBorder="1" applyAlignment="1">
      <alignment horizontal="right" vertical="center"/>
    </xf>
    <xf numFmtId="164" fontId="44" fillId="21" borderId="48" xfId="0" applyNumberFormat="1" applyFont="1" applyFill="1" applyBorder="1" applyAlignment="1">
      <alignment horizontal="left" vertical="top" wrapText="1"/>
    </xf>
    <xf numFmtId="164" fontId="44" fillId="21" borderId="22" xfId="0" applyNumberFormat="1" applyFont="1" applyFill="1" applyBorder="1" applyAlignment="1">
      <alignment horizontal="left" vertical="top" wrapText="1"/>
    </xf>
    <xf numFmtId="164" fontId="44" fillId="21" borderId="15" xfId="0" applyNumberFormat="1" applyFont="1" applyFill="1" applyBorder="1" applyAlignment="1">
      <alignment horizontal="left" vertical="top" wrapText="1"/>
    </xf>
    <xf numFmtId="164" fontId="44" fillId="21" borderId="0" xfId="0" applyNumberFormat="1" applyFont="1" applyFill="1" applyAlignment="1">
      <alignment horizontal="left" vertical="top" wrapText="1"/>
    </xf>
    <xf numFmtId="164" fontId="44" fillId="21" borderId="76" xfId="0" applyNumberFormat="1" applyFont="1" applyFill="1" applyBorder="1" applyAlignment="1">
      <alignment horizontal="left" vertical="top" wrapText="1"/>
    </xf>
    <xf numFmtId="164" fontId="44" fillId="21" borderId="77" xfId="0" applyNumberFormat="1" applyFont="1" applyFill="1" applyBorder="1" applyAlignment="1">
      <alignment horizontal="left" vertical="top" wrapText="1"/>
    </xf>
    <xf numFmtId="164" fontId="44" fillId="21" borderId="19" xfId="0" applyNumberFormat="1" applyFont="1" applyFill="1" applyBorder="1" applyAlignment="1">
      <alignment horizontal="left" vertical="top" wrapText="1"/>
    </xf>
    <xf numFmtId="164" fontId="44" fillId="21" borderId="31" xfId="0" applyNumberFormat="1" applyFont="1" applyFill="1" applyBorder="1" applyAlignment="1">
      <alignment horizontal="left" vertical="top" wrapText="1"/>
    </xf>
    <xf numFmtId="164" fontId="44" fillId="21" borderId="69" xfId="0" applyNumberFormat="1" applyFont="1" applyFill="1" applyBorder="1" applyAlignment="1">
      <alignment horizontal="left" vertical="top" wrapText="1"/>
    </xf>
    <xf numFmtId="164" fontId="44" fillId="21" borderId="70" xfId="0" applyNumberFormat="1" applyFont="1" applyFill="1" applyBorder="1" applyAlignment="1">
      <alignment horizontal="left" vertical="top" wrapText="1"/>
    </xf>
    <xf numFmtId="164" fontId="44" fillId="21" borderId="80" xfId="0" applyNumberFormat="1" applyFont="1" applyFill="1" applyBorder="1" applyAlignment="1">
      <alignment horizontal="left" vertical="top"/>
    </xf>
    <xf numFmtId="164" fontId="44" fillId="21" borderId="81" xfId="0" applyNumberFormat="1" applyFont="1" applyFill="1" applyBorder="1" applyAlignment="1">
      <alignment horizontal="left" vertical="top"/>
    </xf>
    <xf numFmtId="164" fontId="44" fillId="21" borderId="87" xfId="0" applyNumberFormat="1" applyFont="1" applyFill="1" applyBorder="1" applyAlignment="1">
      <alignment horizontal="left" vertical="top"/>
    </xf>
    <xf numFmtId="0" fontId="49" fillId="3" borderId="38" xfId="0" applyFont="1" applyFill="1" applyBorder="1" applyAlignment="1">
      <alignment horizontal="center" vertical="center"/>
    </xf>
    <xf numFmtId="164" fontId="2" fillId="0" borderId="19" xfId="0" quotePrefix="1" applyNumberFormat="1" applyFont="1" applyBorder="1" applyAlignment="1">
      <alignment horizontal="right" vertical="center"/>
    </xf>
    <xf numFmtId="164" fontId="2" fillId="0" borderId="31" xfId="0" quotePrefix="1" applyNumberFormat="1" applyFont="1" applyBorder="1" applyAlignment="1">
      <alignment horizontal="right" vertical="center"/>
    </xf>
    <xf numFmtId="164" fontId="3" fillId="21" borderId="0" xfId="0" applyNumberFormat="1" applyFont="1" applyFill="1" applyAlignment="1">
      <alignment horizontal="right"/>
    </xf>
    <xf numFmtId="164" fontId="43" fillId="3" borderId="38" xfId="0" applyNumberFormat="1" applyFont="1" applyFill="1" applyBorder="1" applyAlignment="1">
      <alignment horizontal="center" vertical="center"/>
    </xf>
    <xf numFmtId="0" fontId="43" fillId="3" borderId="38" xfId="0" applyFont="1" applyFill="1" applyBorder="1" applyAlignment="1">
      <alignment vertical="center"/>
    </xf>
    <xf numFmtId="164" fontId="1" fillId="21" borderId="24" xfId="0" applyNumberFormat="1" applyFont="1" applyFill="1" applyBorder="1" applyAlignment="1">
      <alignment horizontal="center" vertical="center"/>
    </xf>
    <xf numFmtId="164" fontId="42" fillId="6" borderId="43" xfId="0" applyNumberFormat="1" applyFont="1" applyFill="1" applyBorder="1" applyAlignment="1">
      <alignment horizontal="center" vertical="center"/>
    </xf>
    <xf numFmtId="164" fontId="42" fillId="6" borderId="50" xfId="0" applyNumberFormat="1" applyFont="1" applyFill="1" applyBorder="1" applyAlignment="1">
      <alignment horizontal="center" vertical="center"/>
    </xf>
    <xf numFmtId="164" fontId="1" fillId="15" borderId="5" xfId="0" applyNumberFormat="1" applyFont="1" applyFill="1" applyBorder="1" applyAlignment="1">
      <alignment horizontal="left" vertical="center"/>
    </xf>
    <xf numFmtId="164" fontId="1" fillId="15" borderId="33" xfId="0" applyNumberFormat="1" applyFont="1" applyFill="1" applyBorder="1" applyAlignment="1">
      <alignment horizontal="left" vertical="center"/>
    </xf>
    <xf numFmtId="164" fontId="1" fillId="15" borderId="1" xfId="0" applyNumberFormat="1" applyFont="1" applyFill="1" applyBorder="1" applyAlignment="1">
      <alignment horizontal="left" vertical="center"/>
    </xf>
    <xf numFmtId="164" fontId="3" fillId="18" borderId="6" xfId="0" applyNumberFormat="1" applyFont="1" applyFill="1" applyBorder="1" applyAlignment="1">
      <alignment horizontal="left"/>
    </xf>
    <xf numFmtId="164" fontId="3" fillId="18" borderId="38" xfId="0" applyNumberFormat="1" applyFont="1" applyFill="1" applyBorder="1" applyAlignment="1">
      <alignment horizontal="left"/>
    </xf>
    <xf numFmtId="164" fontId="52" fillId="21" borderId="0" xfId="0" applyNumberFormat="1" applyFont="1" applyFill="1" applyAlignment="1">
      <alignment horizontal="left"/>
    </xf>
    <xf numFmtId="1" fontId="52" fillId="21" borderId="0" xfId="0" applyNumberFormat="1" applyFont="1" applyFill="1" applyAlignment="1">
      <alignment horizontal="left"/>
    </xf>
    <xf numFmtId="165" fontId="1" fillId="21" borderId="0" xfId="0" applyNumberFormat="1" applyFont="1" applyFill="1" applyAlignment="1">
      <alignment horizontal="left"/>
    </xf>
    <xf numFmtId="164" fontId="1" fillId="21" borderId="113" xfId="0" applyNumberFormat="1" applyFont="1" applyFill="1" applyBorder="1" applyAlignment="1">
      <alignment horizontal="center" vertical="center"/>
    </xf>
    <xf numFmtId="164" fontId="1" fillId="21" borderId="114" xfId="0" applyNumberFormat="1" applyFont="1" applyFill="1" applyBorder="1" applyAlignment="1">
      <alignment horizontal="center" vertical="center"/>
    </xf>
    <xf numFmtId="2" fontId="48" fillId="14" borderId="38" xfId="0" applyNumberFormat="1" applyFont="1" applyFill="1" applyBorder="1" applyAlignment="1">
      <alignment horizontal="center" vertical="center"/>
    </xf>
    <xf numFmtId="2" fontId="48" fillId="14" borderId="2" xfId="0" applyNumberFormat="1" applyFont="1" applyFill="1" applyBorder="1" applyAlignment="1">
      <alignment horizontal="center" vertical="center"/>
    </xf>
    <xf numFmtId="164" fontId="52" fillId="21" borderId="15" xfId="0" applyNumberFormat="1" applyFont="1" applyFill="1" applyBorder="1" applyAlignment="1">
      <alignment horizontal="right" vertical="center"/>
    </xf>
    <xf numFmtId="164" fontId="1" fillId="21" borderId="81" xfId="0" applyNumberFormat="1" applyFont="1" applyFill="1" applyBorder="1" applyAlignment="1">
      <alignment horizontal="center" vertical="center"/>
    </xf>
    <xf numFmtId="164" fontId="1" fillId="21" borderId="82" xfId="0" applyNumberFormat="1" applyFont="1" applyFill="1" applyBorder="1" applyAlignment="1">
      <alignment horizontal="center" vertical="center"/>
    </xf>
    <xf numFmtId="0" fontId="44" fillId="0" borderId="19" xfId="0" applyFont="1" applyBorder="1" applyAlignment="1">
      <alignment horizontal="left" vertical="top" wrapText="1"/>
    </xf>
    <xf numFmtId="0" fontId="44" fillId="0" borderId="31" xfId="0" applyFont="1" applyBorder="1" applyAlignment="1">
      <alignment horizontal="left" vertical="top" wrapText="1"/>
    </xf>
    <xf numFmtId="0" fontId="44" fillId="0" borderId="32" xfId="0" applyFont="1" applyBorder="1" applyAlignment="1">
      <alignment horizontal="left" vertical="top" wrapText="1"/>
    </xf>
    <xf numFmtId="164" fontId="0" fillId="21" borderId="19" xfId="0" applyNumberFormat="1" applyFill="1" applyBorder="1" applyAlignment="1">
      <alignment horizontal="right" vertical="center"/>
    </xf>
    <xf numFmtId="164" fontId="0" fillId="21" borderId="80" xfId="0" applyNumberFormat="1" applyFill="1" applyBorder="1" applyAlignment="1">
      <alignment horizontal="right" vertical="center"/>
    </xf>
    <xf numFmtId="164" fontId="0" fillId="21" borderId="81" xfId="0" applyNumberFormat="1" applyFill="1" applyBorder="1" applyAlignment="1">
      <alignment horizontal="right" vertical="center"/>
    </xf>
    <xf numFmtId="164" fontId="49" fillId="14" borderId="6" xfId="0" applyNumberFormat="1" applyFont="1" applyFill="1" applyBorder="1" applyAlignment="1">
      <alignment horizontal="left" vertical="center"/>
    </xf>
    <xf numFmtId="164" fontId="49" fillId="14" borderId="38" xfId="0" applyNumberFormat="1" applyFont="1" applyFill="1" applyBorder="1" applyAlignment="1">
      <alignment horizontal="left" vertical="center"/>
    </xf>
    <xf numFmtId="164" fontId="49" fillId="14" borderId="2" xfId="0" applyNumberFormat="1" applyFont="1" applyFill="1" applyBorder="1" applyAlignment="1">
      <alignment horizontal="left" vertical="center"/>
    </xf>
    <xf numFmtId="164" fontId="2" fillId="25" borderId="69" xfId="0" quotePrefix="1" applyNumberFormat="1" applyFont="1" applyFill="1" applyBorder="1" applyAlignment="1">
      <alignment horizontal="right" vertical="center"/>
    </xf>
    <xf numFmtId="164" fontId="2" fillId="25" borderId="70" xfId="0" quotePrefix="1" applyNumberFormat="1" applyFont="1" applyFill="1" applyBorder="1" applyAlignment="1">
      <alignment horizontal="right" vertical="center"/>
    </xf>
    <xf numFmtId="164" fontId="0" fillId="25" borderId="70" xfId="0" applyNumberFormat="1" applyFill="1" applyBorder="1" applyAlignment="1">
      <alignment horizontal="right" vertical="center"/>
    </xf>
    <xf numFmtId="164" fontId="0" fillId="0" borderId="76" xfId="0" applyNumberFormat="1" applyBorder="1" applyAlignment="1">
      <alignment horizontal="right" vertical="center"/>
    </xf>
    <xf numFmtId="164" fontId="0" fillId="0" borderId="77" xfId="0" applyNumberFormat="1" applyBorder="1" applyAlignment="1">
      <alignment horizontal="right" vertical="center"/>
    </xf>
    <xf numFmtId="164" fontId="0" fillId="0" borderId="15" xfId="0" applyNumberFormat="1" applyBorder="1" applyAlignment="1">
      <alignment horizontal="right" vertical="center"/>
    </xf>
    <xf numFmtId="164" fontId="0" fillId="0" borderId="0" xfId="0" applyNumberFormat="1" applyAlignment="1">
      <alignment horizontal="right" vertical="center"/>
    </xf>
    <xf numFmtId="164" fontId="0" fillId="0" borderId="69" xfId="0" applyNumberFormat="1" applyBorder="1" applyAlignment="1">
      <alignment horizontal="right" vertical="center"/>
    </xf>
    <xf numFmtId="164" fontId="0" fillId="0" borderId="70" xfId="0" applyNumberFormat="1" applyBorder="1" applyAlignment="1">
      <alignment horizontal="right" vertical="center"/>
    </xf>
    <xf numFmtId="164" fontId="0" fillId="21" borderId="53" xfId="0" applyNumberFormat="1" applyFill="1" applyBorder="1" applyAlignment="1">
      <alignment horizontal="right" vertical="center"/>
    </xf>
    <xf numFmtId="164" fontId="0" fillId="21" borderId="27" xfId="0" applyNumberFormat="1" applyFill="1" applyBorder="1" applyAlignment="1">
      <alignment horizontal="right" vertical="center"/>
    </xf>
    <xf numFmtId="164" fontId="1" fillId="17" borderId="5" xfId="0" applyNumberFormat="1" applyFont="1" applyFill="1" applyBorder="1" applyAlignment="1">
      <alignment horizontal="left" vertical="center"/>
    </xf>
    <xf numFmtId="164" fontId="1" fillId="17" borderId="33" xfId="0" applyNumberFormat="1" applyFont="1" applyFill="1" applyBorder="1" applyAlignment="1">
      <alignment horizontal="left" vertical="center"/>
    </xf>
    <xf numFmtId="164" fontId="1" fillId="17" borderId="42" xfId="0" applyNumberFormat="1" applyFont="1" applyFill="1" applyBorder="1" applyAlignment="1">
      <alignment horizontal="left" vertical="center"/>
    </xf>
    <xf numFmtId="164" fontId="40" fillId="6" borderId="31" xfId="0" applyNumberFormat="1" applyFont="1" applyFill="1" applyBorder="1" applyAlignment="1">
      <alignment horizontal="center" vertical="center"/>
    </xf>
    <xf numFmtId="164" fontId="40" fillId="6" borderId="20" xfId="0" applyNumberFormat="1" applyFont="1" applyFill="1" applyBorder="1" applyAlignment="1">
      <alignment horizontal="center" vertical="center"/>
    </xf>
    <xf numFmtId="164" fontId="1" fillId="10" borderId="11" xfId="0" applyNumberFormat="1" applyFont="1" applyFill="1" applyBorder="1" applyAlignment="1">
      <alignment horizontal="left" vertical="center"/>
    </xf>
    <xf numFmtId="164" fontId="1" fillId="10" borderId="29" xfId="0" applyNumberFormat="1" applyFont="1" applyFill="1" applyBorder="1" applyAlignment="1">
      <alignment horizontal="left" vertical="center"/>
    </xf>
    <xf numFmtId="164" fontId="1" fillId="10" borderId="42" xfId="0" applyNumberFormat="1" applyFont="1" applyFill="1" applyBorder="1" applyAlignment="1">
      <alignment horizontal="left" vertical="center"/>
    </xf>
    <xf numFmtId="164" fontId="2" fillId="21" borderId="0" xfId="0" applyNumberFormat="1" applyFont="1" applyFill="1" applyAlignment="1">
      <alignment horizontal="right" vertical="center"/>
    </xf>
    <xf numFmtId="1" fontId="42" fillId="26" borderId="38" xfId="0" applyNumberFormat="1" applyFont="1" applyFill="1" applyBorder="1" applyAlignment="1">
      <alignment horizontal="right" vertical="center"/>
    </xf>
    <xf numFmtId="1" fontId="42" fillId="26" borderId="2" xfId="0" applyNumberFormat="1" applyFont="1" applyFill="1" applyBorder="1" applyAlignment="1">
      <alignment horizontal="right" vertical="center"/>
    </xf>
    <xf numFmtId="164" fontId="49" fillId="14" borderId="6" xfId="0" applyNumberFormat="1" applyFont="1" applyFill="1" applyBorder="1" applyAlignment="1">
      <alignment horizontal="left" vertical="center" wrapText="1"/>
    </xf>
    <xf numFmtId="164" fontId="49" fillId="14" borderId="38" xfId="0" applyNumberFormat="1" applyFont="1" applyFill="1" applyBorder="1" applyAlignment="1">
      <alignment horizontal="left" vertical="center" wrapText="1"/>
    </xf>
    <xf numFmtId="1" fontId="89" fillId="15" borderId="27" xfId="0" applyNumberFormat="1" applyFont="1" applyFill="1" applyBorder="1" applyAlignment="1">
      <alignment horizontal="center" vertical="top"/>
    </xf>
    <xf numFmtId="1" fontId="89" fillId="15" borderId="52" xfId="0" applyNumberFormat="1" applyFont="1" applyFill="1" applyBorder="1" applyAlignment="1">
      <alignment horizontal="center" vertical="top"/>
    </xf>
    <xf numFmtId="1" fontId="66" fillId="10" borderId="38" xfId="0" applyNumberFormat="1" applyFont="1" applyFill="1" applyBorder="1" applyAlignment="1">
      <alignment horizontal="right" vertical="center"/>
    </xf>
    <xf numFmtId="1" fontId="66" fillId="10" borderId="2" xfId="0" applyNumberFormat="1" applyFont="1" applyFill="1" applyBorder="1" applyAlignment="1">
      <alignment horizontal="right" vertical="center"/>
    </xf>
    <xf numFmtId="1" fontId="1" fillId="21" borderId="77" xfId="0" applyNumberFormat="1" applyFont="1" applyFill="1" applyBorder="1" applyAlignment="1">
      <alignment horizontal="center" vertical="center"/>
    </xf>
    <xf numFmtId="1" fontId="1" fillId="21" borderId="86" xfId="0" applyNumberFormat="1" applyFont="1" applyFill="1" applyBorder="1" applyAlignment="1">
      <alignment horizontal="center" vertical="center"/>
    </xf>
    <xf numFmtId="164" fontId="52" fillId="21" borderId="80" xfId="0" applyNumberFormat="1" applyFont="1" applyFill="1" applyBorder="1" applyAlignment="1">
      <alignment horizontal="right" vertical="center"/>
    </xf>
    <xf numFmtId="1" fontId="50" fillId="21" borderId="72" xfId="0" applyNumberFormat="1" applyFont="1" applyFill="1" applyBorder="1" applyAlignment="1">
      <alignment horizontal="center" vertical="center"/>
    </xf>
    <xf numFmtId="1" fontId="50" fillId="21" borderId="79" xfId="0" applyNumberFormat="1" applyFont="1" applyFill="1" applyBorder="1" applyAlignment="1">
      <alignment horizontal="center" vertical="center"/>
    </xf>
    <xf numFmtId="164" fontId="1" fillId="26" borderId="6" xfId="0" applyNumberFormat="1" applyFont="1" applyFill="1" applyBorder="1" applyAlignment="1">
      <alignment horizontal="left" vertical="center"/>
    </xf>
    <xf numFmtId="164" fontId="1" fillId="26" borderId="38" xfId="0" applyNumberFormat="1" applyFont="1" applyFill="1" applyBorder="1" applyAlignment="1">
      <alignment horizontal="left" vertical="center"/>
    </xf>
    <xf numFmtId="2" fontId="44" fillId="14" borderId="33" xfId="0" applyNumberFormat="1" applyFont="1" applyFill="1" applyBorder="1" applyAlignment="1">
      <alignment horizontal="center"/>
    </xf>
    <xf numFmtId="2" fontId="44" fillId="14" borderId="1" xfId="0" applyNumberFormat="1" applyFont="1" applyFill="1" applyBorder="1" applyAlignment="1">
      <alignment horizontal="center"/>
    </xf>
    <xf numFmtId="1" fontId="17" fillId="13" borderId="49" xfId="0" applyNumberFormat="1" applyFont="1" applyFill="1" applyBorder="1" applyAlignment="1">
      <alignment horizontal="left" vertical="top"/>
    </xf>
    <xf numFmtId="1" fontId="17" fillId="13" borderId="46" xfId="0" applyNumberFormat="1" applyFont="1" applyFill="1" applyBorder="1" applyAlignment="1">
      <alignment horizontal="left" vertical="top"/>
    </xf>
    <xf numFmtId="1" fontId="17" fillId="13" borderId="47" xfId="0" applyNumberFormat="1" applyFont="1" applyFill="1" applyBorder="1" applyAlignment="1">
      <alignment horizontal="left" vertical="top"/>
    </xf>
    <xf numFmtId="164" fontId="2" fillId="21" borderId="71" xfId="0" applyNumberFormat="1" applyFont="1" applyFill="1" applyBorder="1" applyAlignment="1">
      <alignment horizontal="right" vertical="center"/>
    </xf>
    <xf numFmtId="164" fontId="0" fillId="21" borderId="72" xfId="0" applyNumberFormat="1" applyFill="1" applyBorder="1" applyAlignment="1">
      <alignment horizontal="right" vertical="center"/>
    </xf>
    <xf numFmtId="164" fontId="42" fillId="12" borderId="33" xfId="0" applyNumberFormat="1" applyFont="1" applyFill="1" applyBorder="1" applyAlignment="1">
      <alignment horizontal="center"/>
    </xf>
    <xf numFmtId="164" fontId="42" fillId="12" borderId="45" xfId="0" applyNumberFormat="1" applyFont="1" applyFill="1" applyBorder="1" applyAlignment="1">
      <alignment horizontal="center"/>
    </xf>
    <xf numFmtId="164" fontId="40" fillId="24" borderId="43" xfId="0" applyNumberFormat="1" applyFont="1" applyFill="1" applyBorder="1" applyAlignment="1">
      <alignment horizontal="center"/>
    </xf>
    <xf numFmtId="164" fontId="40" fillId="24" borderId="38" xfId="0" applyNumberFormat="1" applyFont="1" applyFill="1" applyBorder="1" applyAlignment="1">
      <alignment horizontal="center"/>
    </xf>
    <xf numFmtId="164" fontId="40" fillId="3" borderId="44" xfId="0" applyNumberFormat="1" applyFont="1" applyFill="1" applyBorder="1" applyAlignment="1">
      <alignment horizontal="center"/>
    </xf>
    <xf numFmtId="164" fontId="40" fillId="3" borderId="33" xfId="0" applyNumberFormat="1" applyFont="1" applyFill="1" applyBorder="1" applyAlignment="1">
      <alignment horizontal="center"/>
    </xf>
    <xf numFmtId="1" fontId="18" fillId="10" borderId="49" xfId="0" applyNumberFormat="1" applyFont="1" applyFill="1" applyBorder="1" applyAlignment="1">
      <alignment horizontal="left" vertical="center"/>
    </xf>
    <xf numFmtId="1" fontId="18" fillId="10" borderId="46" xfId="0" applyNumberFormat="1" applyFont="1" applyFill="1" applyBorder="1" applyAlignment="1">
      <alignment horizontal="left" vertical="center"/>
    </xf>
    <xf numFmtId="1" fontId="18" fillId="10" borderId="47" xfId="0" applyNumberFormat="1" applyFont="1" applyFill="1" applyBorder="1" applyAlignment="1">
      <alignment horizontal="left" vertical="center"/>
    </xf>
    <xf numFmtId="164" fontId="40" fillId="14" borderId="44" xfId="0" applyNumberFormat="1" applyFont="1" applyFill="1" applyBorder="1" applyAlignment="1">
      <alignment horizontal="right"/>
    </xf>
    <xf numFmtId="164" fontId="40" fillId="14" borderId="33" xfId="0" applyNumberFormat="1" applyFont="1" applyFill="1" applyBorder="1" applyAlignment="1">
      <alignment horizontal="right"/>
    </xf>
    <xf numFmtId="164" fontId="43" fillId="11" borderId="71" xfId="0" applyNumberFormat="1" applyFont="1" applyFill="1" applyBorder="1" applyAlignment="1">
      <alignment horizontal="center" vertical="center"/>
    </xf>
    <xf numFmtId="164" fontId="43" fillId="11" borderId="72" xfId="0" applyNumberFormat="1" applyFont="1" applyFill="1" applyBorder="1" applyAlignment="1">
      <alignment horizontal="center" vertical="center"/>
    </xf>
    <xf numFmtId="164" fontId="43" fillId="11" borderId="73" xfId="0" applyNumberFormat="1" applyFont="1" applyFill="1" applyBorder="1" applyAlignment="1">
      <alignment horizontal="center" vertical="center"/>
    </xf>
    <xf numFmtId="164" fontId="43" fillId="11" borderId="50" xfId="0" applyNumberFormat="1" applyFont="1" applyFill="1" applyBorder="1" applyAlignment="1">
      <alignment horizontal="center"/>
    </xf>
    <xf numFmtId="164" fontId="42" fillId="11" borderId="33" xfId="0" applyNumberFormat="1" applyFont="1" applyFill="1" applyBorder="1" applyAlignment="1">
      <alignment horizontal="center"/>
    </xf>
    <xf numFmtId="164" fontId="42" fillId="11" borderId="45" xfId="0" applyNumberFormat="1" applyFont="1" applyFill="1" applyBorder="1" applyAlignment="1">
      <alignment horizontal="center"/>
    </xf>
    <xf numFmtId="1" fontId="17" fillId="10" borderId="49" xfId="0" applyNumberFormat="1" applyFont="1" applyFill="1" applyBorder="1" applyAlignment="1">
      <alignment horizontal="left" vertical="top"/>
    </xf>
    <xf numFmtId="1" fontId="17" fillId="10" borderId="46" xfId="0" applyNumberFormat="1" applyFont="1" applyFill="1" applyBorder="1" applyAlignment="1">
      <alignment horizontal="left" vertical="top"/>
    </xf>
    <xf numFmtId="1" fontId="17" fillId="10" borderId="47" xfId="0" applyNumberFormat="1" applyFont="1" applyFill="1" applyBorder="1" applyAlignment="1">
      <alignment horizontal="left" vertical="top"/>
    </xf>
    <xf numFmtId="164" fontId="58" fillId="10" borderId="46" xfId="0" quotePrefix="1" applyNumberFormat="1" applyFont="1" applyFill="1" applyBorder="1" applyAlignment="1">
      <alignment horizontal="right" vertical="center"/>
    </xf>
    <xf numFmtId="1" fontId="17" fillId="10" borderId="49" xfId="0" applyNumberFormat="1" applyFont="1" applyFill="1" applyBorder="1" applyAlignment="1">
      <alignment horizontal="left" vertical="center"/>
    </xf>
    <xf numFmtId="1" fontId="17" fillId="10" borderId="46" xfId="0" applyNumberFormat="1" applyFont="1" applyFill="1" applyBorder="1" applyAlignment="1">
      <alignment horizontal="left" vertical="center"/>
    </xf>
    <xf numFmtId="1" fontId="18" fillId="10" borderId="49" xfId="0" applyNumberFormat="1" applyFont="1" applyFill="1" applyBorder="1" applyAlignment="1">
      <alignment horizontal="left" vertical="top"/>
    </xf>
    <xf numFmtId="1" fontId="18" fillId="10" borderId="46" xfId="0" applyNumberFormat="1" applyFont="1" applyFill="1" applyBorder="1" applyAlignment="1">
      <alignment horizontal="left" vertical="top"/>
    </xf>
    <xf numFmtId="164" fontId="58" fillId="20" borderId="33" xfId="0" applyNumberFormat="1" applyFont="1" applyFill="1" applyBorder="1" applyAlignment="1">
      <alignment horizontal="center" vertical="center"/>
    </xf>
    <xf numFmtId="164" fontId="58" fillId="20" borderId="45" xfId="0" applyNumberFormat="1" applyFont="1" applyFill="1" applyBorder="1" applyAlignment="1">
      <alignment horizontal="center" vertical="center"/>
    </xf>
    <xf numFmtId="164" fontId="58" fillId="20" borderId="27" xfId="0" applyNumberFormat="1" applyFont="1" applyFill="1" applyBorder="1" applyAlignment="1">
      <alignment horizontal="center" vertical="center"/>
    </xf>
    <xf numFmtId="164" fontId="58" fillId="20" borderId="28" xfId="0" applyNumberFormat="1" applyFont="1" applyFill="1" applyBorder="1" applyAlignment="1">
      <alignment horizontal="center" vertical="center"/>
    </xf>
    <xf numFmtId="0" fontId="21" fillId="0" borderId="110" xfId="0" applyFont="1" applyBorder="1" applyAlignment="1">
      <alignment horizontal="left" vertical="top" wrapText="1"/>
    </xf>
    <xf numFmtId="0" fontId="24" fillId="0" borderId="110" xfId="0" applyFont="1" applyBorder="1" applyAlignment="1">
      <alignment horizontal="left" wrapText="1"/>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0432FF"/>
      <color rgb="FF4567FF"/>
      <color rgb="FF942093"/>
      <color rgb="FFD87A00"/>
      <color rgb="FFFF00FF"/>
      <color rgb="FFCE99E5"/>
      <color rgb="FFC1A539"/>
      <color rgb="FFFFF58C"/>
      <color rgb="FFFFCB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MID Dissociation Scales Graph</a:t>
            </a:r>
          </a:p>
        </c:rich>
      </c:tx>
      <c:layout>
        <c:manualLayout>
          <c:xMode val="edge"/>
          <c:yMode val="edge"/>
          <c:x val="0.32065071295389602"/>
          <c:y val="1.73215459360542E-2"/>
        </c:manualLayout>
      </c:layout>
      <c:overlay val="0"/>
      <c:spPr>
        <a:noFill/>
        <a:ln w="25400">
          <a:noFill/>
        </a:ln>
      </c:spPr>
    </c:title>
    <c:autoTitleDeleted val="0"/>
    <c:plotArea>
      <c:layout>
        <c:manualLayout>
          <c:layoutTarget val="inner"/>
          <c:xMode val="edge"/>
          <c:yMode val="edge"/>
          <c:x val="8.4304959466682913E-2"/>
          <c:y val="0.11389394731554919"/>
          <c:w val="0.87963088086443275"/>
          <c:h val="0.407143465715879"/>
        </c:manualLayout>
      </c:layout>
      <c:lineChart>
        <c:grouping val="standard"/>
        <c:varyColors val="0"/>
        <c:ser>
          <c:idx val="1"/>
          <c:order val="0"/>
          <c:tx>
            <c:strRef>
              <c:f>Calculations!$E$315</c:f>
              <c:strCache>
                <c:ptCount val="1"/>
                <c:pt idx="0">
                  <c:v>Nondissociative</c:v>
                </c:pt>
              </c:strCache>
            </c:strRef>
          </c:tx>
          <c:spPr>
            <a:ln w="12700" cmpd="sng">
              <a:solidFill>
                <a:srgbClr val="F20884"/>
              </a:solidFill>
              <a:prstDash val="solid"/>
            </a:ln>
          </c:spPr>
          <c:marker>
            <c:symbol val="square"/>
            <c:size val="6"/>
            <c:spPr>
              <a:solidFill>
                <a:srgbClr val="FF82D6"/>
              </a:solidFill>
              <a:ln>
                <a:solidFill>
                  <a:srgbClr val="F20884"/>
                </a:solidFill>
                <a:prstDash val="solid"/>
              </a:ln>
            </c:spPr>
          </c:marker>
          <c:cat>
            <c:strRef>
              <c:f>Calculations!$C$316:$C$343</c:f>
              <c:strCache>
                <c:ptCount val="28"/>
                <c:pt idx="0">
                  <c:v>GENERAL PT DISSOCIATIVE SYMPTOMS</c:v>
                </c:pt>
                <c:pt idx="1">
                  <c:v>Memory Problems</c:v>
                </c:pt>
                <c:pt idx="2">
                  <c:v>Depersonalization</c:v>
                </c:pt>
                <c:pt idx="3">
                  <c:v>Derealization</c:v>
                </c:pt>
                <c:pt idx="4">
                  <c:v>Flashbacks</c:v>
                </c:pt>
                <c:pt idx="5">
                  <c:v>Somatoform Symptoms</c:v>
                </c:pt>
                <c:pt idx="6">
                  <c:v>Trance</c:v>
                </c:pt>
                <c:pt idx="8">
                  <c:v>PARTIALLY-DISSOCIATED INTRUSIONS</c:v>
                </c:pt>
                <c:pt idx="9">
                  <c:v>Child Voices</c:v>
                </c:pt>
                <c:pt idx="10">
                  <c:v>Voices / Internal Struggle</c:v>
                </c:pt>
                <c:pt idx="11">
                  <c:v>Persecutory Voices</c:v>
                </c:pt>
                <c:pt idx="12">
                  <c:v>Speech Insertion</c:v>
                </c:pt>
                <c:pt idx="13">
                  <c:v>Thought Insertion</c:v>
                </c:pt>
                <c:pt idx="14">
                  <c:v>'Made' / Intrusive Emotions</c:v>
                </c:pt>
                <c:pt idx="15">
                  <c:v>'Made' / Intrusive Impulses</c:v>
                </c:pt>
                <c:pt idx="16">
                  <c:v>'Made' / Intrusive Actions</c:v>
                </c:pt>
                <c:pt idx="17">
                  <c:v>Temporary Loss of Knowledge</c:v>
                </c:pt>
                <c:pt idx="18">
                  <c:v>Experiences of Self-Alteration</c:v>
                </c:pt>
                <c:pt idx="19">
                  <c:v>Puzzlement about Oneself</c:v>
                </c:pt>
                <c:pt idx="21">
                  <c:v>FULLY-DISSOCIATED ACTIONS (AMNESIA)</c:v>
                </c:pt>
                <c:pt idx="22">
                  <c:v>Time Loss</c:v>
                </c:pt>
                <c:pt idx="23">
                  <c:v>"Coming to"</c:v>
                </c:pt>
                <c:pt idx="24">
                  <c:v>Fugues</c:v>
                </c:pt>
                <c:pt idx="25">
                  <c:v>Being Told of Disremembered Actions</c:v>
                </c:pt>
                <c:pt idx="26">
                  <c:v>Finding Objects Among Possessions</c:v>
                </c:pt>
                <c:pt idx="27">
                  <c:v>Finding Evidence of One's Actions</c:v>
                </c:pt>
              </c:strCache>
            </c:strRef>
          </c:cat>
          <c:val>
            <c:numRef>
              <c:f>Calculations!$E$316:$E$343</c:f>
              <c:numCache>
                <c:formatCode>General</c:formatCode>
                <c:ptCount val="28"/>
                <c:pt idx="1">
                  <c:v>18</c:v>
                </c:pt>
                <c:pt idx="2">
                  <c:v>8</c:v>
                </c:pt>
                <c:pt idx="3">
                  <c:v>7</c:v>
                </c:pt>
                <c:pt idx="4">
                  <c:v>10</c:v>
                </c:pt>
                <c:pt idx="5">
                  <c:v>2</c:v>
                </c:pt>
                <c:pt idx="6">
                  <c:v>8</c:v>
                </c:pt>
                <c:pt idx="9">
                  <c:v>3</c:v>
                </c:pt>
                <c:pt idx="10">
                  <c:v>8</c:v>
                </c:pt>
                <c:pt idx="11">
                  <c:v>4</c:v>
                </c:pt>
                <c:pt idx="12">
                  <c:v>5</c:v>
                </c:pt>
                <c:pt idx="13">
                  <c:v>14</c:v>
                </c:pt>
                <c:pt idx="14">
                  <c:v>17</c:v>
                </c:pt>
                <c:pt idx="15">
                  <c:v>6</c:v>
                </c:pt>
                <c:pt idx="16">
                  <c:v>7</c:v>
                </c:pt>
                <c:pt idx="17">
                  <c:v>4</c:v>
                </c:pt>
                <c:pt idx="18">
                  <c:v>5</c:v>
                </c:pt>
                <c:pt idx="19">
                  <c:v>18</c:v>
                </c:pt>
                <c:pt idx="22">
                  <c:v>6</c:v>
                </c:pt>
                <c:pt idx="23">
                  <c:v>1</c:v>
                </c:pt>
                <c:pt idx="24">
                  <c:v>1</c:v>
                </c:pt>
                <c:pt idx="25">
                  <c:v>4</c:v>
                </c:pt>
                <c:pt idx="26">
                  <c:v>1</c:v>
                </c:pt>
                <c:pt idx="27">
                  <c:v>1</c:v>
                </c:pt>
              </c:numCache>
            </c:numRef>
          </c:val>
          <c:smooth val="0"/>
          <c:extLst>
            <c:ext xmlns:c16="http://schemas.microsoft.com/office/drawing/2014/chart" uri="{C3380CC4-5D6E-409C-BE32-E72D297353CC}">
              <c16:uniqueId val="{00000001-900F-B545-9C91-99D79BDB366A}"/>
            </c:ext>
          </c:extLst>
        </c:ser>
        <c:ser>
          <c:idx val="3"/>
          <c:order val="1"/>
          <c:tx>
            <c:strRef>
              <c:f>Calculations!$G$315</c:f>
              <c:strCache>
                <c:ptCount val="1"/>
                <c:pt idx="0">
                  <c:v>OSDD, Type 1a</c:v>
                </c:pt>
              </c:strCache>
            </c:strRef>
          </c:tx>
          <c:spPr>
            <a:ln w="12700" cmpd="sng">
              <a:solidFill>
                <a:schemeClr val="accent5">
                  <a:lumMod val="75000"/>
                </a:schemeClr>
              </a:solidFill>
              <a:prstDash val="solid"/>
            </a:ln>
          </c:spPr>
          <c:marker>
            <c:symbol val="circle"/>
            <c:size val="6"/>
            <c:spPr>
              <a:solidFill>
                <a:schemeClr val="accent5"/>
              </a:solidFill>
              <a:ln>
                <a:solidFill>
                  <a:schemeClr val="accent5">
                    <a:lumMod val="50000"/>
                  </a:schemeClr>
                </a:solidFill>
                <a:prstDash val="solid"/>
              </a:ln>
            </c:spPr>
          </c:marker>
          <c:val>
            <c:numRef>
              <c:f>Calculations!$G$316:$G$343</c:f>
              <c:numCache>
                <c:formatCode>General</c:formatCode>
                <c:ptCount val="28"/>
                <c:pt idx="1">
                  <c:v>43.37</c:v>
                </c:pt>
                <c:pt idx="2">
                  <c:v>40.1</c:v>
                </c:pt>
                <c:pt idx="3">
                  <c:v>28.16</c:v>
                </c:pt>
                <c:pt idx="4">
                  <c:v>37.19</c:v>
                </c:pt>
                <c:pt idx="5">
                  <c:v>11.15</c:v>
                </c:pt>
                <c:pt idx="6">
                  <c:v>28.79</c:v>
                </c:pt>
                <c:pt idx="9">
                  <c:v>27.08</c:v>
                </c:pt>
                <c:pt idx="10">
                  <c:v>38.840000000000003</c:v>
                </c:pt>
                <c:pt idx="11">
                  <c:v>38.75</c:v>
                </c:pt>
                <c:pt idx="12">
                  <c:v>19.03</c:v>
                </c:pt>
                <c:pt idx="13">
                  <c:v>43.08</c:v>
                </c:pt>
                <c:pt idx="14">
                  <c:v>41.79</c:v>
                </c:pt>
                <c:pt idx="15">
                  <c:v>36.81</c:v>
                </c:pt>
                <c:pt idx="16">
                  <c:v>31.94</c:v>
                </c:pt>
                <c:pt idx="17">
                  <c:v>8.83</c:v>
                </c:pt>
                <c:pt idx="18">
                  <c:v>25</c:v>
                </c:pt>
                <c:pt idx="19">
                  <c:v>42.97</c:v>
                </c:pt>
                <c:pt idx="22">
                  <c:v>19.27</c:v>
                </c:pt>
                <c:pt idx="23">
                  <c:v>4.2699999999999996</c:v>
                </c:pt>
                <c:pt idx="24">
                  <c:v>2.5</c:v>
                </c:pt>
                <c:pt idx="25">
                  <c:v>5.2</c:v>
                </c:pt>
                <c:pt idx="26">
                  <c:v>1.88</c:v>
                </c:pt>
                <c:pt idx="27">
                  <c:v>4.25</c:v>
                </c:pt>
              </c:numCache>
            </c:numRef>
          </c:val>
          <c:smooth val="0"/>
          <c:extLst>
            <c:ext xmlns:c16="http://schemas.microsoft.com/office/drawing/2014/chart" uri="{C3380CC4-5D6E-409C-BE32-E72D297353CC}">
              <c16:uniqueId val="{00000003-900F-B545-9C91-99D79BDB366A}"/>
            </c:ext>
          </c:extLst>
        </c:ser>
        <c:ser>
          <c:idx val="2"/>
          <c:order val="2"/>
          <c:tx>
            <c:strRef>
              <c:f>Calculations!$F$315</c:f>
              <c:strCache>
                <c:ptCount val="1"/>
                <c:pt idx="0">
                  <c:v>DID</c:v>
                </c:pt>
              </c:strCache>
            </c:strRef>
          </c:tx>
          <c:spPr>
            <a:ln w="12700" cmpd="sng">
              <a:solidFill>
                <a:srgbClr val="FCF305"/>
              </a:solidFill>
              <a:prstDash val="solid"/>
            </a:ln>
          </c:spPr>
          <c:marker>
            <c:symbol val="triangle"/>
            <c:size val="6"/>
            <c:spPr>
              <a:solidFill>
                <a:srgbClr val="FCF305"/>
              </a:solidFill>
              <a:ln>
                <a:solidFill>
                  <a:schemeClr val="tx1">
                    <a:lumMod val="65000"/>
                    <a:lumOff val="35000"/>
                  </a:schemeClr>
                </a:solidFill>
                <a:prstDash val="solid"/>
              </a:ln>
            </c:spPr>
          </c:marker>
          <c:val>
            <c:numRef>
              <c:f>Calculations!$F$316:$F$343</c:f>
              <c:numCache>
                <c:formatCode>General</c:formatCode>
                <c:ptCount val="28"/>
                <c:pt idx="1">
                  <c:v>62.28</c:v>
                </c:pt>
                <c:pt idx="2">
                  <c:v>53.37</c:v>
                </c:pt>
                <c:pt idx="3">
                  <c:v>45.24</c:v>
                </c:pt>
                <c:pt idx="4">
                  <c:v>53.31</c:v>
                </c:pt>
                <c:pt idx="5">
                  <c:v>24.67</c:v>
                </c:pt>
                <c:pt idx="6">
                  <c:v>48.05</c:v>
                </c:pt>
                <c:pt idx="9">
                  <c:v>52.2</c:v>
                </c:pt>
                <c:pt idx="10">
                  <c:v>60.73</c:v>
                </c:pt>
                <c:pt idx="11">
                  <c:v>54.78</c:v>
                </c:pt>
                <c:pt idx="12">
                  <c:v>55.45</c:v>
                </c:pt>
                <c:pt idx="13">
                  <c:v>63.85</c:v>
                </c:pt>
                <c:pt idx="14">
                  <c:v>68.12</c:v>
                </c:pt>
                <c:pt idx="15">
                  <c:v>54.96</c:v>
                </c:pt>
                <c:pt idx="16">
                  <c:v>60.79</c:v>
                </c:pt>
                <c:pt idx="17">
                  <c:v>40.24</c:v>
                </c:pt>
                <c:pt idx="18">
                  <c:v>48.48</c:v>
                </c:pt>
                <c:pt idx="19">
                  <c:v>70.790000000000006</c:v>
                </c:pt>
                <c:pt idx="22">
                  <c:v>57.07</c:v>
                </c:pt>
                <c:pt idx="23">
                  <c:v>38.11</c:v>
                </c:pt>
                <c:pt idx="24">
                  <c:v>34.15</c:v>
                </c:pt>
                <c:pt idx="25">
                  <c:v>43.72</c:v>
                </c:pt>
                <c:pt idx="26">
                  <c:v>34.450000000000003</c:v>
                </c:pt>
                <c:pt idx="27">
                  <c:v>30.1</c:v>
                </c:pt>
              </c:numCache>
            </c:numRef>
          </c:val>
          <c:smooth val="0"/>
          <c:extLst>
            <c:ext xmlns:c16="http://schemas.microsoft.com/office/drawing/2014/chart" uri="{C3380CC4-5D6E-409C-BE32-E72D297353CC}">
              <c16:uniqueId val="{00000002-900F-B545-9C91-99D79BDB366A}"/>
            </c:ext>
          </c:extLst>
        </c:ser>
        <c:ser>
          <c:idx val="0"/>
          <c:order val="3"/>
          <c:tx>
            <c:strRef>
              <c:f>Calculations!$D$315</c:f>
              <c:strCache>
                <c:ptCount val="1"/>
                <c:pt idx="0">
                  <c:v>Test-taker</c:v>
                </c:pt>
              </c:strCache>
            </c:strRef>
          </c:tx>
          <c:spPr>
            <a:ln w="12700" cmpd="sng">
              <a:solidFill>
                <a:srgbClr val="0432FF"/>
              </a:solidFill>
              <a:prstDash val="solid"/>
            </a:ln>
          </c:spPr>
          <c:marker>
            <c:symbol val="diamond"/>
            <c:size val="7"/>
            <c:spPr>
              <a:solidFill>
                <a:srgbClr val="0432FF"/>
              </a:solidFill>
              <a:ln>
                <a:solidFill>
                  <a:srgbClr val="0432FF"/>
                </a:solidFill>
                <a:prstDash val="solid"/>
              </a:ln>
            </c:spPr>
          </c:marker>
          <c:cat>
            <c:strRef>
              <c:f>Calculations!$C$316:$C$343</c:f>
              <c:strCache>
                <c:ptCount val="28"/>
                <c:pt idx="0">
                  <c:v>GENERAL PT DISSOCIATIVE SYMPTOMS</c:v>
                </c:pt>
                <c:pt idx="1">
                  <c:v>Memory Problems</c:v>
                </c:pt>
                <c:pt idx="2">
                  <c:v>Depersonalization</c:v>
                </c:pt>
                <c:pt idx="3">
                  <c:v>Derealization</c:v>
                </c:pt>
                <c:pt idx="4">
                  <c:v>Flashbacks</c:v>
                </c:pt>
                <c:pt idx="5">
                  <c:v>Somatoform Symptoms</c:v>
                </c:pt>
                <c:pt idx="6">
                  <c:v>Trance</c:v>
                </c:pt>
                <c:pt idx="8">
                  <c:v>PARTIALLY-DISSOCIATED INTRUSIONS</c:v>
                </c:pt>
                <c:pt idx="9">
                  <c:v>Child Voices</c:v>
                </c:pt>
                <c:pt idx="10">
                  <c:v>Voices / Internal Struggle</c:v>
                </c:pt>
                <c:pt idx="11">
                  <c:v>Persecutory Voices</c:v>
                </c:pt>
                <c:pt idx="12">
                  <c:v>Speech Insertion</c:v>
                </c:pt>
                <c:pt idx="13">
                  <c:v>Thought Insertion</c:v>
                </c:pt>
                <c:pt idx="14">
                  <c:v>'Made' / Intrusive Emotions</c:v>
                </c:pt>
                <c:pt idx="15">
                  <c:v>'Made' / Intrusive Impulses</c:v>
                </c:pt>
                <c:pt idx="16">
                  <c:v>'Made' / Intrusive Actions</c:v>
                </c:pt>
                <c:pt idx="17">
                  <c:v>Temporary Loss of Knowledge</c:v>
                </c:pt>
                <c:pt idx="18">
                  <c:v>Experiences of Self-Alteration</c:v>
                </c:pt>
                <c:pt idx="19">
                  <c:v>Puzzlement about Oneself</c:v>
                </c:pt>
                <c:pt idx="21">
                  <c:v>FULLY-DISSOCIATED ACTIONS (AMNESIA)</c:v>
                </c:pt>
                <c:pt idx="22">
                  <c:v>Time Loss</c:v>
                </c:pt>
                <c:pt idx="23">
                  <c:v>"Coming to"</c:v>
                </c:pt>
                <c:pt idx="24">
                  <c:v>Fugues</c:v>
                </c:pt>
                <c:pt idx="25">
                  <c:v>Being Told of Disremembered Actions</c:v>
                </c:pt>
                <c:pt idx="26">
                  <c:v>Finding Objects Among Possessions</c:v>
                </c:pt>
                <c:pt idx="27">
                  <c:v>Finding Evidence of One's Actions</c:v>
                </c:pt>
              </c:strCache>
            </c:strRef>
          </c:cat>
          <c:val>
            <c:numRef>
              <c:f>Calculations!$D$316:$D$343</c:f>
              <c:numCache>
                <c:formatCode>0.00</c:formatCode>
                <c:ptCount val="28"/>
                <c:pt idx="1">
                  <c:v>0</c:v>
                </c:pt>
                <c:pt idx="2">
                  <c:v>0</c:v>
                </c:pt>
                <c:pt idx="3">
                  <c:v>0</c:v>
                </c:pt>
                <c:pt idx="4">
                  <c:v>0</c:v>
                </c:pt>
                <c:pt idx="5">
                  <c:v>0</c:v>
                </c:pt>
                <c:pt idx="6">
                  <c:v>0</c:v>
                </c:pt>
                <c:pt idx="9">
                  <c:v>0</c:v>
                </c:pt>
                <c:pt idx="10">
                  <c:v>0</c:v>
                </c:pt>
                <c:pt idx="11">
                  <c:v>0</c:v>
                </c:pt>
                <c:pt idx="12">
                  <c:v>0</c:v>
                </c:pt>
                <c:pt idx="13">
                  <c:v>0</c:v>
                </c:pt>
                <c:pt idx="14">
                  <c:v>0</c:v>
                </c:pt>
                <c:pt idx="15">
                  <c:v>0</c:v>
                </c:pt>
                <c:pt idx="16">
                  <c:v>0</c:v>
                </c:pt>
                <c:pt idx="17">
                  <c:v>0</c:v>
                </c:pt>
                <c:pt idx="18">
                  <c:v>0</c:v>
                </c:pt>
                <c:pt idx="19">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0-900F-B545-9C91-99D79BDB366A}"/>
            </c:ext>
          </c:extLst>
        </c:ser>
        <c:dLbls>
          <c:showLegendKey val="0"/>
          <c:showVal val="0"/>
          <c:showCatName val="0"/>
          <c:showSerName val="0"/>
          <c:showPercent val="0"/>
          <c:showBubbleSize val="0"/>
        </c:dLbls>
        <c:marker val="1"/>
        <c:smooth val="0"/>
        <c:axId val="821310208"/>
        <c:axId val="814612912"/>
      </c:lineChart>
      <c:catAx>
        <c:axId val="821310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814612912"/>
        <c:crosses val="autoZero"/>
        <c:auto val="1"/>
        <c:lblAlgn val="ctr"/>
        <c:lblOffset val="140"/>
        <c:tickLblSkip val="1"/>
        <c:tickMarkSkip val="1"/>
        <c:noMultiLvlLbl val="0"/>
      </c:catAx>
      <c:valAx>
        <c:axId val="814612912"/>
        <c:scaling>
          <c:orientation val="minMax"/>
          <c:max val="1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21310208"/>
        <c:crosses val="autoZero"/>
        <c:crossBetween val="between"/>
        <c:majorUnit val="10"/>
        <c:minorUnit val="10"/>
      </c:valAx>
      <c:spPr>
        <a:solidFill>
          <a:schemeClr val="bg1">
            <a:lumMod val="75000"/>
          </a:schemeClr>
        </a:solidFill>
        <a:ln w="12700">
          <a:solidFill>
            <a:srgbClr val="808080"/>
          </a:solidFill>
          <a:prstDash val="solid"/>
        </a:ln>
      </c:spPr>
    </c:plotArea>
    <c:legend>
      <c:legendPos val="r"/>
      <c:layout>
        <c:manualLayout>
          <c:xMode val="edge"/>
          <c:yMode val="edge"/>
          <c:x val="3.216520321955315E-2"/>
          <c:y val="5.8070779943425202E-2"/>
          <c:w val="0.93225848855704374"/>
          <c:h val="3.4370916401406999E-2"/>
        </c:manualLayout>
      </c:layout>
      <c:overlay val="0"/>
      <c:spPr>
        <a:solidFill>
          <a:srgbClr val="BFBFB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25" b="0" i="0" u="none" strike="noStrike" baseline="0">
          <a:solidFill>
            <a:srgbClr val="000000"/>
          </a:solidFill>
          <a:latin typeface="Arial"/>
          <a:ea typeface="Arial"/>
          <a:cs typeface="Arial"/>
        </a:defRPr>
      </a:pPr>
      <a:endParaRPr lang="en-US"/>
    </a:p>
  </c:txPr>
  <c:printSettings>
    <c:headerFooter>
      <c:oddHeader>&amp;CThe MID Report: Line Graphs
</c:oddHeader>
    </c:headerFooter>
    <c:pageMargins b="1" l="0.75" r="0.75" t="1" header="0.5" footer="0.5"/>
    <c:pageSetup orientation="portrait" blackAndWhite="1"/>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MID Clinical Summary Graph</a:t>
            </a:r>
          </a:p>
        </c:rich>
      </c:tx>
      <c:layout>
        <c:manualLayout>
          <c:xMode val="edge"/>
          <c:yMode val="edge"/>
          <c:x val="0.35706637045995299"/>
          <c:y val="1.6690919964118402E-2"/>
        </c:manualLayout>
      </c:layout>
      <c:overlay val="0"/>
      <c:spPr>
        <a:noFill/>
        <a:ln w="25400">
          <a:noFill/>
        </a:ln>
      </c:spPr>
    </c:title>
    <c:autoTitleDeleted val="0"/>
    <c:plotArea>
      <c:layout>
        <c:manualLayout>
          <c:layoutTarget val="inner"/>
          <c:xMode val="edge"/>
          <c:yMode val="edge"/>
          <c:x val="0.50994859878881271"/>
          <c:y val="0.11641209267984282"/>
          <c:w val="0.45134245449976163"/>
          <c:h val="0.87087440760295176"/>
        </c:manualLayout>
      </c:layout>
      <c:barChart>
        <c:barDir val="bar"/>
        <c:grouping val="clustered"/>
        <c:varyColors val="0"/>
        <c:ser>
          <c:idx val="0"/>
          <c:order val="0"/>
          <c:tx>
            <c:strRef>
              <c:f>Calculations!$D$388</c:f>
              <c:strCache>
                <c:ptCount val="1"/>
                <c:pt idx="0">
                  <c:v>Test-taker</c:v>
                </c:pt>
              </c:strCache>
            </c:strRef>
          </c:tx>
          <c:spPr>
            <a:solidFill>
              <a:srgbClr val="0432FF"/>
            </a:solidFill>
            <a:ln w="12700">
              <a:solidFill>
                <a:srgbClr val="000000"/>
              </a:solidFill>
              <a:prstDash val="solid"/>
            </a:ln>
          </c:spPr>
          <c:invertIfNegative val="0"/>
          <c:cat>
            <c:strRef>
              <c:f>Calculations!$C$390:$C$424</c:f>
              <c:strCache>
                <c:ptCount val="35"/>
                <c:pt idx="0">
                  <c:v>DISSOCIATION SCALES (% of Items 'Passed' Unless Noted)</c:v>
                </c:pt>
                <c:pt idx="1">
                  <c:v>Mean MID Score</c:v>
                </c:pt>
                <c:pt idx="2">
                  <c:v>Mini-MID Score (Mean)</c:v>
                </c:pt>
                <c:pt idx="3">
                  <c:v>Severe Dissociation </c:v>
                </c:pt>
                <c:pt idx="4">
                  <c:v>Depersonalization</c:v>
                </c:pt>
                <c:pt idx="5">
                  <c:v>Derealization</c:v>
                </c:pt>
                <c:pt idx="6">
                  <c:v>Amnesia</c:v>
                </c:pt>
                <c:pt idx="8">
                  <c:v>PARTS AND ALTERS SCALES (Mean Scores)</c:v>
                </c:pt>
                <c:pt idx="9">
                  <c:v>Experiences of Self-Alteration</c:v>
                </c:pt>
                <c:pt idx="10">
                  <c:v>I Have DID</c:v>
                </c:pt>
                <c:pt idx="11">
                  <c:v>I Have Parts</c:v>
                </c:pt>
                <c:pt idx="12">
                  <c:v>Child Parts</c:v>
                </c:pt>
                <c:pt idx="13">
                  <c:v>Helper Parts</c:v>
                </c:pt>
                <c:pt idx="14">
                  <c:v>Angry Parts</c:v>
                </c:pt>
                <c:pt idx="15">
                  <c:v>Persecutor Parts</c:v>
                </c:pt>
                <c:pt idx="17">
                  <c:v>VALIDITY SCALES (% of Items 'Passed' Unless Noted)</c:v>
                </c:pt>
                <c:pt idx="18">
                  <c:v>Defensiveness / Minimization (Mean)</c:v>
                </c:pt>
                <c:pt idx="19">
                  <c:v>Defensiveness / Minimization</c:v>
                </c:pt>
                <c:pt idx="20">
                  <c:v>Rare Symptoms</c:v>
                </c:pt>
                <c:pt idx="21">
                  <c:v>Psychosis Screen</c:v>
                </c:pt>
                <c:pt idx="23">
                  <c:v>CHARACTEROLOGICAL SCALES (Mean Scores Unless Noted)</c:v>
                </c:pt>
                <c:pt idx="24">
                  <c:v>Attention-Seeking Behavior (% of Items 'Passed')</c:v>
                </c:pt>
                <c:pt idx="25">
                  <c:v>Factitious Behavior (% of Items 'Passed')</c:v>
                </c:pt>
                <c:pt idx="26">
                  <c:v>Manipulativeness</c:v>
                </c:pt>
                <c:pt idx="27">
                  <c:v>Interpersonal Intrusiveness</c:v>
                </c:pt>
                <c:pt idx="28">
                  <c:v>Identity Confusion</c:v>
                </c:pt>
                <c:pt idx="29">
                  <c:v>Emotional Suffering</c:v>
                </c:pt>
                <c:pt idx="30">
                  <c:v>Abandonment</c:v>
                </c:pt>
                <c:pt idx="32">
                  <c:v>FUNCTIONALITY/IMPAIRMENT SCALES (Mean Scores)</c:v>
                </c:pt>
                <c:pt idx="33">
                  <c:v>Critical Items Scale</c:v>
                </c:pt>
                <c:pt idx="34">
                  <c:v>Cognitive Distraction</c:v>
                </c:pt>
              </c:strCache>
            </c:strRef>
          </c:cat>
          <c:val>
            <c:numRef>
              <c:f>Calculations!$D$390:$D$424</c:f>
              <c:numCache>
                <c:formatCode>0.00</c:formatCode>
                <c:ptCount val="35"/>
                <c:pt idx="1">
                  <c:v>0</c:v>
                </c:pt>
                <c:pt idx="2">
                  <c:v>0</c:v>
                </c:pt>
                <c:pt idx="3">
                  <c:v>0</c:v>
                </c:pt>
                <c:pt idx="4">
                  <c:v>0</c:v>
                </c:pt>
                <c:pt idx="5">
                  <c:v>0</c:v>
                </c:pt>
                <c:pt idx="6">
                  <c:v>0</c:v>
                </c:pt>
                <c:pt idx="9">
                  <c:v>0</c:v>
                </c:pt>
                <c:pt idx="10">
                  <c:v>0</c:v>
                </c:pt>
                <c:pt idx="11">
                  <c:v>0</c:v>
                </c:pt>
                <c:pt idx="12">
                  <c:v>0</c:v>
                </c:pt>
                <c:pt idx="13">
                  <c:v>0</c:v>
                </c:pt>
                <c:pt idx="14">
                  <c:v>0</c:v>
                </c:pt>
                <c:pt idx="15">
                  <c:v>0</c:v>
                </c:pt>
                <c:pt idx="18">
                  <c:v>100</c:v>
                </c:pt>
                <c:pt idx="19">
                  <c:v>100</c:v>
                </c:pt>
                <c:pt idx="20">
                  <c:v>0</c:v>
                </c:pt>
                <c:pt idx="21">
                  <c:v>0</c:v>
                </c:pt>
                <c:pt idx="24">
                  <c:v>0</c:v>
                </c:pt>
                <c:pt idx="25">
                  <c:v>0</c:v>
                </c:pt>
                <c:pt idx="26">
                  <c:v>0</c:v>
                </c:pt>
                <c:pt idx="27">
                  <c:v>0</c:v>
                </c:pt>
                <c:pt idx="28">
                  <c:v>0</c:v>
                </c:pt>
                <c:pt idx="29">
                  <c:v>0</c:v>
                </c:pt>
                <c:pt idx="30">
                  <c:v>0</c:v>
                </c:pt>
                <c:pt idx="33">
                  <c:v>0</c:v>
                </c:pt>
                <c:pt idx="34">
                  <c:v>0</c:v>
                </c:pt>
              </c:numCache>
            </c:numRef>
          </c:val>
          <c:extLst>
            <c:ext xmlns:c16="http://schemas.microsoft.com/office/drawing/2014/chart" uri="{C3380CC4-5D6E-409C-BE32-E72D297353CC}">
              <c16:uniqueId val="{00000000-046C-A541-B21B-DC83226A4C08}"/>
            </c:ext>
          </c:extLst>
        </c:ser>
        <c:ser>
          <c:idx val="1"/>
          <c:order val="1"/>
          <c:tx>
            <c:strRef>
              <c:f>Calculations!$E$388</c:f>
              <c:strCache>
                <c:ptCount val="1"/>
                <c:pt idx="0">
                  <c:v>Nondissociative</c:v>
                </c:pt>
              </c:strCache>
            </c:strRef>
          </c:tx>
          <c:spPr>
            <a:pattFill prst="wdUpDiag">
              <a:fgClr>
                <a:srgbClr val="FF00FF"/>
              </a:fgClr>
              <a:bgClr>
                <a:srgbClr val="FFCBFF"/>
              </a:bgClr>
            </a:pattFill>
            <a:ln w="12700">
              <a:solidFill>
                <a:srgbClr val="000000"/>
              </a:solidFill>
              <a:prstDash val="solid"/>
            </a:ln>
          </c:spPr>
          <c:invertIfNegative val="0"/>
          <c:cat>
            <c:strRef>
              <c:f>Calculations!$C$390:$C$424</c:f>
              <c:strCache>
                <c:ptCount val="35"/>
                <c:pt idx="0">
                  <c:v>DISSOCIATION SCALES (% of Items 'Passed' Unless Noted)</c:v>
                </c:pt>
                <c:pt idx="1">
                  <c:v>Mean MID Score</c:v>
                </c:pt>
                <c:pt idx="2">
                  <c:v>Mini-MID Score (Mean)</c:v>
                </c:pt>
                <c:pt idx="3">
                  <c:v>Severe Dissociation </c:v>
                </c:pt>
                <c:pt idx="4">
                  <c:v>Depersonalization</c:v>
                </c:pt>
                <c:pt idx="5">
                  <c:v>Derealization</c:v>
                </c:pt>
                <c:pt idx="6">
                  <c:v>Amnesia</c:v>
                </c:pt>
                <c:pt idx="8">
                  <c:v>PARTS AND ALTERS SCALES (Mean Scores)</c:v>
                </c:pt>
                <c:pt idx="9">
                  <c:v>Experiences of Self-Alteration</c:v>
                </c:pt>
                <c:pt idx="10">
                  <c:v>I Have DID</c:v>
                </c:pt>
                <c:pt idx="11">
                  <c:v>I Have Parts</c:v>
                </c:pt>
                <c:pt idx="12">
                  <c:v>Child Parts</c:v>
                </c:pt>
                <c:pt idx="13">
                  <c:v>Helper Parts</c:v>
                </c:pt>
                <c:pt idx="14">
                  <c:v>Angry Parts</c:v>
                </c:pt>
                <c:pt idx="15">
                  <c:v>Persecutor Parts</c:v>
                </c:pt>
                <c:pt idx="17">
                  <c:v>VALIDITY SCALES (% of Items 'Passed' Unless Noted)</c:v>
                </c:pt>
                <c:pt idx="18">
                  <c:v>Defensiveness / Minimization (Mean)</c:v>
                </c:pt>
                <c:pt idx="19">
                  <c:v>Defensiveness / Minimization</c:v>
                </c:pt>
                <c:pt idx="20">
                  <c:v>Rare Symptoms</c:v>
                </c:pt>
                <c:pt idx="21">
                  <c:v>Psychosis Screen</c:v>
                </c:pt>
                <c:pt idx="23">
                  <c:v>CHARACTEROLOGICAL SCALES (Mean Scores Unless Noted)</c:v>
                </c:pt>
                <c:pt idx="24">
                  <c:v>Attention-Seeking Behavior (% of Items 'Passed')</c:v>
                </c:pt>
                <c:pt idx="25">
                  <c:v>Factitious Behavior (% of Items 'Passed')</c:v>
                </c:pt>
                <c:pt idx="26">
                  <c:v>Manipulativeness</c:v>
                </c:pt>
                <c:pt idx="27">
                  <c:v>Interpersonal Intrusiveness</c:v>
                </c:pt>
                <c:pt idx="28">
                  <c:v>Identity Confusion</c:v>
                </c:pt>
                <c:pt idx="29">
                  <c:v>Emotional Suffering</c:v>
                </c:pt>
                <c:pt idx="30">
                  <c:v>Abandonment</c:v>
                </c:pt>
                <c:pt idx="32">
                  <c:v>FUNCTIONALITY/IMPAIRMENT SCALES (Mean Scores)</c:v>
                </c:pt>
                <c:pt idx="33">
                  <c:v>Critical Items Scale</c:v>
                </c:pt>
                <c:pt idx="34">
                  <c:v>Cognitive Distraction</c:v>
                </c:pt>
              </c:strCache>
            </c:strRef>
          </c:cat>
          <c:val>
            <c:numRef>
              <c:f>Calculations!$E$390:$E$424</c:f>
              <c:numCache>
                <c:formatCode>General</c:formatCode>
                <c:ptCount val="35"/>
                <c:pt idx="1">
                  <c:v>7</c:v>
                </c:pt>
                <c:pt idx="2">
                  <c:v>4.3099999999999996</c:v>
                </c:pt>
                <c:pt idx="3">
                  <c:v>14</c:v>
                </c:pt>
                <c:pt idx="4">
                  <c:v>13</c:v>
                </c:pt>
                <c:pt idx="5">
                  <c:v>16</c:v>
                </c:pt>
                <c:pt idx="6">
                  <c:v>7</c:v>
                </c:pt>
                <c:pt idx="9">
                  <c:v>5</c:v>
                </c:pt>
                <c:pt idx="10">
                  <c:v>2</c:v>
                </c:pt>
                <c:pt idx="11">
                  <c:v>6</c:v>
                </c:pt>
                <c:pt idx="12">
                  <c:v>5</c:v>
                </c:pt>
                <c:pt idx="13">
                  <c:v>5</c:v>
                </c:pt>
                <c:pt idx="14">
                  <c:v>6</c:v>
                </c:pt>
                <c:pt idx="15">
                  <c:v>4</c:v>
                </c:pt>
                <c:pt idx="18">
                  <c:v>64</c:v>
                </c:pt>
                <c:pt idx="19">
                  <c:v>12</c:v>
                </c:pt>
                <c:pt idx="20">
                  <c:v>3</c:v>
                </c:pt>
                <c:pt idx="21">
                  <c:v>4</c:v>
                </c:pt>
                <c:pt idx="24">
                  <c:v>15</c:v>
                </c:pt>
                <c:pt idx="25">
                  <c:v>4</c:v>
                </c:pt>
                <c:pt idx="26">
                  <c:v>6.59</c:v>
                </c:pt>
                <c:pt idx="27">
                  <c:v>14</c:v>
                </c:pt>
                <c:pt idx="28">
                  <c:v>15</c:v>
                </c:pt>
                <c:pt idx="29">
                  <c:v>29</c:v>
                </c:pt>
                <c:pt idx="30">
                  <c:v>32</c:v>
                </c:pt>
                <c:pt idx="33">
                  <c:v>3</c:v>
                </c:pt>
                <c:pt idx="34">
                  <c:v>36</c:v>
                </c:pt>
              </c:numCache>
            </c:numRef>
          </c:val>
          <c:extLst>
            <c:ext xmlns:c16="http://schemas.microsoft.com/office/drawing/2014/chart" uri="{C3380CC4-5D6E-409C-BE32-E72D297353CC}">
              <c16:uniqueId val="{00000001-046C-A541-B21B-DC83226A4C08}"/>
            </c:ext>
          </c:extLst>
        </c:ser>
        <c:ser>
          <c:idx val="3"/>
          <c:order val="2"/>
          <c:tx>
            <c:strRef>
              <c:f>Calculations!$G$388</c:f>
              <c:strCache>
                <c:ptCount val="1"/>
                <c:pt idx="0">
                  <c:v>OSDD, Type 1a</c:v>
                </c:pt>
              </c:strCache>
            </c:strRef>
          </c:tx>
          <c:spPr>
            <a:solidFill>
              <a:srgbClr val="93CDDD"/>
            </a:solidFill>
            <a:ln w="12700">
              <a:solidFill>
                <a:srgbClr val="000000"/>
              </a:solidFill>
              <a:prstDash val="solid"/>
            </a:ln>
          </c:spPr>
          <c:invertIfNegative val="0"/>
          <c:cat>
            <c:strRef>
              <c:f>Calculations!$C$390:$C$424</c:f>
              <c:strCache>
                <c:ptCount val="35"/>
                <c:pt idx="0">
                  <c:v>DISSOCIATION SCALES (% of Items 'Passed' Unless Noted)</c:v>
                </c:pt>
                <c:pt idx="1">
                  <c:v>Mean MID Score</c:v>
                </c:pt>
                <c:pt idx="2">
                  <c:v>Mini-MID Score (Mean)</c:v>
                </c:pt>
                <c:pt idx="3">
                  <c:v>Severe Dissociation </c:v>
                </c:pt>
                <c:pt idx="4">
                  <c:v>Depersonalization</c:v>
                </c:pt>
                <c:pt idx="5">
                  <c:v>Derealization</c:v>
                </c:pt>
                <c:pt idx="6">
                  <c:v>Amnesia</c:v>
                </c:pt>
                <c:pt idx="8">
                  <c:v>PARTS AND ALTERS SCALES (Mean Scores)</c:v>
                </c:pt>
                <c:pt idx="9">
                  <c:v>Experiences of Self-Alteration</c:v>
                </c:pt>
                <c:pt idx="10">
                  <c:v>I Have DID</c:v>
                </c:pt>
                <c:pt idx="11">
                  <c:v>I Have Parts</c:v>
                </c:pt>
                <c:pt idx="12">
                  <c:v>Child Parts</c:v>
                </c:pt>
                <c:pt idx="13">
                  <c:v>Helper Parts</c:v>
                </c:pt>
                <c:pt idx="14">
                  <c:v>Angry Parts</c:v>
                </c:pt>
                <c:pt idx="15">
                  <c:v>Persecutor Parts</c:v>
                </c:pt>
                <c:pt idx="17">
                  <c:v>VALIDITY SCALES (% of Items 'Passed' Unless Noted)</c:v>
                </c:pt>
                <c:pt idx="18">
                  <c:v>Defensiveness / Minimization (Mean)</c:v>
                </c:pt>
                <c:pt idx="19">
                  <c:v>Defensiveness / Minimization</c:v>
                </c:pt>
                <c:pt idx="20">
                  <c:v>Rare Symptoms</c:v>
                </c:pt>
                <c:pt idx="21">
                  <c:v>Psychosis Screen</c:v>
                </c:pt>
                <c:pt idx="23">
                  <c:v>CHARACTEROLOGICAL SCALES (Mean Scores Unless Noted)</c:v>
                </c:pt>
                <c:pt idx="24">
                  <c:v>Attention-Seeking Behavior (% of Items 'Passed')</c:v>
                </c:pt>
                <c:pt idx="25">
                  <c:v>Factitious Behavior (% of Items 'Passed')</c:v>
                </c:pt>
                <c:pt idx="26">
                  <c:v>Manipulativeness</c:v>
                </c:pt>
                <c:pt idx="27">
                  <c:v>Interpersonal Intrusiveness</c:v>
                </c:pt>
                <c:pt idx="28">
                  <c:v>Identity Confusion</c:v>
                </c:pt>
                <c:pt idx="29">
                  <c:v>Emotional Suffering</c:v>
                </c:pt>
                <c:pt idx="30">
                  <c:v>Abandonment</c:v>
                </c:pt>
                <c:pt idx="32">
                  <c:v>FUNCTIONALITY/IMPAIRMENT SCALES (Mean Scores)</c:v>
                </c:pt>
                <c:pt idx="33">
                  <c:v>Critical Items Scale</c:v>
                </c:pt>
                <c:pt idx="34">
                  <c:v>Cognitive Distraction</c:v>
                </c:pt>
              </c:strCache>
            </c:strRef>
          </c:cat>
          <c:val>
            <c:numRef>
              <c:f>Calculations!$G$390:$G$424</c:f>
              <c:numCache>
                <c:formatCode>General</c:formatCode>
                <c:ptCount val="35"/>
                <c:pt idx="1">
                  <c:v>28.08</c:v>
                </c:pt>
                <c:pt idx="2">
                  <c:v>21.91</c:v>
                </c:pt>
                <c:pt idx="3">
                  <c:v>47.37</c:v>
                </c:pt>
                <c:pt idx="4">
                  <c:v>61.11</c:v>
                </c:pt>
                <c:pt idx="5">
                  <c:v>57.64</c:v>
                </c:pt>
                <c:pt idx="6">
                  <c:v>11.56</c:v>
                </c:pt>
                <c:pt idx="9">
                  <c:v>25</c:v>
                </c:pt>
                <c:pt idx="10">
                  <c:v>28.33</c:v>
                </c:pt>
                <c:pt idx="11">
                  <c:v>35.28</c:v>
                </c:pt>
                <c:pt idx="12">
                  <c:v>38.81</c:v>
                </c:pt>
                <c:pt idx="13">
                  <c:v>40</c:v>
                </c:pt>
                <c:pt idx="14">
                  <c:v>21.78</c:v>
                </c:pt>
                <c:pt idx="15">
                  <c:v>38.51</c:v>
                </c:pt>
                <c:pt idx="18">
                  <c:v>49.69</c:v>
                </c:pt>
                <c:pt idx="19">
                  <c:v>4.51</c:v>
                </c:pt>
                <c:pt idx="20">
                  <c:v>3.82</c:v>
                </c:pt>
                <c:pt idx="21">
                  <c:v>7.29</c:v>
                </c:pt>
                <c:pt idx="24">
                  <c:v>12.92</c:v>
                </c:pt>
                <c:pt idx="25">
                  <c:v>4.29</c:v>
                </c:pt>
                <c:pt idx="26">
                  <c:v>6.85</c:v>
                </c:pt>
                <c:pt idx="27">
                  <c:v>17.420000000000002</c:v>
                </c:pt>
                <c:pt idx="28">
                  <c:v>47.29</c:v>
                </c:pt>
                <c:pt idx="29">
                  <c:v>46.88</c:v>
                </c:pt>
                <c:pt idx="30">
                  <c:v>48.82</c:v>
                </c:pt>
                <c:pt idx="33">
                  <c:v>17.329999999999998</c:v>
                </c:pt>
                <c:pt idx="34">
                  <c:v>50.31</c:v>
                </c:pt>
              </c:numCache>
            </c:numRef>
          </c:val>
          <c:extLst>
            <c:ext xmlns:c16="http://schemas.microsoft.com/office/drawing/2014/chart" uri="{C3380CC4-5D6E-409C-BE32-E72D297353CC}">
              <c16:uniqueId val="{00000003-046C-A541-B21B-DC83226A4C08}"/>
            </c:ext>
          </c:extLst>
        </c:ser>
        <c:ser>
          <c:idx val="2"/>
          <c:order val="3"/>
          <c:tx>
            <c:strRef>
              <c:f>Calculations!$F$388</c:f>
              <c:strCache>
                <c:ptCount val="1"/>
                <c:pt idx="0">
                  <c:v>DID</c:v>
                </c:pt>
              </c:strCache>
            </c:strRef>
          </c:tx>
          <c:spPr>
            <a:solidFill>
              <a:srgbClr val="FFF58C"/>
            </a:solidFill>
            <a:ln w="12700">
              <a:solidFill>
                <a:srgbClr val="000000"/>
              </a:solidFill>
              <a:prstDash val="solid"/>
            </a:ln>
          </c:spPr>
          <c:invertIfNegative val="0"/>
          <c:cat>
            <c:strRef>
              <c:f>Calculations!$C$390:$C$424</c:f>
              <c:strCache>
                <c:ptCount val="35"/>
                <c:pt idx="0">
                  <c:v>DISSOCIATION SCALES (% of Items 'Passed' Unless Noted)</c:v>
                </c:pt>
                <c:pt idx="1">
                  <c:v>Mean MID Score</c:v>
                </c:pt>
                <c:pt idx="2">
                  <c:v>Mini-MID Score (Mean)</c:v>
                </c:pt>
                <c:pt idx="3">
                  <c:v>Severe Dissociation </c:v>
                </c:pt>
                <c:pt idx="4">
                  <c:v>Depersonalization</c:v>
                </c:pt>
                <c:pt idx="5">
                  <c:v>Derealization</c:v>
                </c:pt>
                <c:pt idx="6">
                  <c:v>Amnesia</c:v>
                </c:pt>
                <c:pt idx="8">
                  <c:v>PARTS AND ALTERS SCALES (Mean Scores)</c:v>
                </c:pt>
                <c:pt idx="9">
                  <c:v>Experiences of Self-Alteration</c:v>
                </c:pt>
                <c:pt idx="10">
                  <c:v>I Have DID</c:v>
                </c:pt>
                <c:pt idx="11">
                  <c:v>I Have Parts</c:v>
                </c:pt>
                <c:pt idx="12">
                  <c:v>Child Parts</c:v>
                </c:pt>
                <c:pt idx="13">
                  <c:v>Helper Parts</c:v>
                </c:pt>
                <c:pt idx="14">
                  <c:v>Angry Parts</c:v>
                </c:pt>
                <c:pt idx="15">
                  <c:v>Persecutor Parts</c:v>
                </c:pt>
                <c:pt idx="17">
                  <c:v>VALIDITY SCALES (% of Items 'Passed' Unless Noted)</c:v>
                </c:pt>
                <c:pt idx="18">
                  <c:v>Defensiveness / Minimization (Mean)</c:v>
                </c:pt>
                <c:pt idx="19">
                  <c:v>Defensiveness / Minimization</c:v>
                </c:pt>
                <c:pt idx="20">
                  <c:v>Rare Symptoms</c:v>
                </c:pt>
                <c:pt idx="21">
                  <c:v>Psychosis Screen</c:v>
                </c:pt>
                <c:pt idx="23">
                  <c:v>CHARACTEROLOGICAL SCALES (Mean Scores Unless Noted)</c:v>
                </c:pt>
                <c:pt idx="24">
                  <c:v>Attention-Seeking Behavior (% of Items 'Passed')</c:v>
                </c:pt>
                <c:pt idx="25">
                  <c:v>Factitious Behavior (% of Items 'Passed')</c:v>
                </c:pt>
                <c:pt idx="26">
                  <c:v>Manipulativeness</c:v>
                </c:pt>
                <c:pt idx="27">
                  <c:v>Interpersonal Intrusiveness</c:v>
                </c:pt>
                <c:pt idx="28">
                  <c:v>Identity Confusion</c:v>
                </c:pt>
                <c:pt idx="29">
                  <c:v>Emotional Suffering</c:v>
                </c:pt>
                <c:pt idx="30">
                  <c:v>Abandonment</c:v>
                </c:pt>
                <c:pt idx="32">
                  <c:v>FUNCTIONALITY/IMPAIRMENT SCALES (Mean Scores)</c:v>
                </c:pt>
                <c:pt idx="33">
                  <c:v>Critical Items Scale</c:v>
                </c:pt>
                <c:pt idx="34">
                  <c:v>Cognitive Distraction</c:v>
                </c:pt>
              </c:strCache>
            </c:strRef>
          </c:cat>
          <c:val>
            <c:numRef>
              <c:f>Calculations!$F$390:$F$424</c:f>
              <c:numCache>
                <c:formatCode>General</c:formatCode>
                <c:ptCount val="35"/>
                <c:pt idx="1">
                  <c:v>50.56</c:v>
                </c:pt>
                <c:pt idx="2">
                  <c:v>51.57</c:v>
                </c:pt>
                <c:pt idx="3">
                  <c:v>75.010000000000005</c:v>
                </c:pt>
                <c:pt idx="4">
                  <c:v>75.2</c:v>
                </c:pt>
                <c:pt idx="5">
                  <c:v>74.790000000000006</c:v>
                </c:pt>
                <c:pt idx="6">
                  <c:v>65.930000000000007</c:v>
                </c:pt>
                <c:pt idx="9">
                  <c:v>48.48</c:v>
                </c:pt>
                <c:pt idx="10">
                  <c:v>61.77</c:v>
                </c:pt>
                <c:pt idx="11">
                  <c:v>61.3</c:v>
                </c:pt>
                <c:pt idx="12">
                  <c:v>57.66</c:v>
                </c:pt>
                <c:pt idx="13">
                  <c:v>37.56</c:v>
                </c:pt>
                <c:pt idx="14">
                  <c:v>54.02</c:v>
                </c:pt>
                <c:pt idx="15">
                  <c:v>55.6</c:v>
                </c:pt>
                <c:pt idx="18">
                  <c:v>33.15</c:v>
                </c:pt>
                <c:pt idx="19">
                  <c:v>2.4300000000000002</c:v>
                </c:pt>
                <c:pt idx="20">
                  <c:v>11.17</c:v>
                </c:pt>
                <c:pt idx="21">
                  <c:v>11.58</c:v>
                </c:pt>
                <c:pt idx="24">
                  <c:v>18.71</c:v>
                </c:pt>
                <c:pt idx="25">
                  <c:v>7.77</c:v>
                </c:pt>
                <c:pt idx="26">
                  <c:v>7.03</c:v>
                </c:pt>
                <c:pt idx="27">
                  <c:v>20.58</c:v>
                </c:pt>
                <c:pt idx="28">
                  <c:v>72.11</c:v>
                </c:pt>
                <c:pt idx="29">
                  <c:v>55.06</c:v>
                </c:pt>
                <c:pt idx="30">
                  <c:v>57.52</c:v>
                </c:pt>
                <c:pt idx="33">
                  <c:v>36.020000000000003</c:v>
                </c:pt>
                <c:pt idx="34">
                  <c:v>66.849999999999994</c:v>
                </c:pt>
              </c:numCache>
            </c:numRef>
          </c:val>
          <c:extLst>
            <c:ext xmlns:c16="http://schemas.microsoft.com/office/drawing/2014/chart" uri="{C3380CC4-5D6E-409C-BE32-E72D297353CC}">
              <c16:uniqueId val="{00000002-046C-A541-B21B-DC83226A4C08}"/>
            </c:ext>
          </c:extLst>
        </c:ser>
        <c:dLbls>
          <c:showLegendKey val="0"/>
          <c:showVal val="0"/>
          <c:showCatName val="0"/>
          <c:showSerName val="0"/>
          <c:showPercent val="0"/>
          <c:showBubbleSize val="0"/>
        </c:dLbls>
        <c:gapWidth val="100"/>
        <c:axId val="762249760"/>
        <c:axId val="762207488"/>
      </c:barChart>
      <c:catAx>
        <c:axId val="762249760"/>
        <c:scaling>
          <c:orientation val="maxMin"/>
        </c:scaling>
        <c:delete val="0"/>
        <c:axPos val="l"/>
        <c:majorGridlines>
          <c:spPr>
            <a:ln w="3175">
              <a:solidFill>
                <a:srgbClr val="868686"/>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62207488"/>
        <c:crosses val="autoZero"/>
        <c:auto val="1"/>
        <c:lblAlgn val="ctr"/>
        <c:lblOffset val="100"/>
        <c:tickLblSkip val="1"/>
        <c:tickMarkSkip val="1"/>
        <c:noMultiLvlLbl val="0"/>
      </c:catAx>
      <c:valAx>
        <c:axId val="762207488"/>
        <c:scaling>
          <c:orientation val="minMax"/>
          <c:max val="100"/>
          <c:min val="0"/>
        </c:scaling>
        <c:delete val="0"/>
        <c:axPos val="t"/>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762249760"/>
        <c:crosses val="autoZero"/>
        <c:crossBetween val="between"/>
        <c:majorUnit val="10"/>
        <c:minorUnit val="10"/>
      </c:valAx>
      <c:spPr>
        <a:solidFill>
          <a:schemeClr val="bg1">
            <a:lumMod val="75000"/>
          </a:schemeClr>
        </a:solidFill>
        <a:ln w="12700">
          <a:solidFill>
            <a:srgbClr val="000000"/>
          </a:solidFill>
          <a:prstDash val="solid"/>
        </a:ln>
      </c:spPr>
    </c:plotArea>
    <c:legend>
      <c:legendPos val="r"/>
      <c:layout>
        <c:manualLayout>
          <c:xMode val="edge"/>
          <c:yMode val="edge"/>
          <c:x val="2.670213421559758E-2"/>
          <c:y val="5.1346787793407372E-2"/>
          <c:w val="0.94509597781821253"/>
          <c:h val="2.6994717432472799E-2"/>
        </c:manualLayout>
      </c:layout>
      <c:overlay val="0"/>
      <c:spPr>
        <a:solidFill>
          <a:schemeClr val="bg1">
            <a:lumMod val="75000"/>
          </a:schemeClr>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25" b="0" i="0" u="none" strike="noStrike" baseline="0">
          <a:solidFill>
            <a:srgbClr val="000000"/>
          </a:solidFill>
          <a:latin typeface="Arial"/>
          <a:ea typeface="Arial"/>
          <a:cs typeface="Arial"/>
        </a:defRPr>
      </a:pPr>
      <a:endParaRPr lang="en-US"/>
    </a:p>
  </c:txPr>
  <c:printSettings>
    <c:headerFooter/>
    <c:pageMargins b="1" l="0.75" r="0.75" t="1" header="0.5" footer="0.5"/>
    <c:pageSetup orientation="landscape" horizontalDpi="-3"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25" b="1" i="0" u="none" strike="noStrike" baseline="0">
                <a:solidFill>
                  <a:srgbClr val="000000"/>
                </a:solidFill>
                <a:latin typeface="Arial"/>
                <a:ea typeface="Arial"/>
                <a:cs typeface="Arial"/>
              </a:defRPr>
            </a:pPr>
            <a:r>
              <a:rPr lang="en-US"/>
              <a:t>MID Factor Scales Graph</a:t>
            </a:r>
          </a:p>
        </c:rich>
      </c:tx>
      <c:layout>
        <c:manualLayout>
          <c:xMode val="edge"/>
          <c:yMode val="edge"/>
          <c:x val="0.34028569553805799"/>
          <c:y val="2.5000049772539501E-2"/>
        </c:manualLayout>
      </c:layout>
      <c:overlay val="0"/>
      <c:spPr>
        <a:noFill/>
        <a:ln w="25400">
          <a:noFill/>
        </a:ln>
      </c:spPr>
    </c:title>
    <c:autoTitleDeleted val="0"/>
    <c:plotArea>
      <c:layout>
        <c:manualLayout>
          <c:layoutTarget val="inner"/>
          <c:xMode val="edge"/>
          <c:yMode val="edge"/>
          <c:x val="0.33396169418269267"/>
          <c:y val="0.13361703943603398"/>
          <c:w val="0.63937378706556613"/>
          <c:h val="0.7936776857923713"/>
        </c:manualLayout>
      </c:layout>
      <c:barChart>
        <c:barDir val="bar"/>
        <c:grouping val="clustered"/>
        <c:varyColors val="0"/>
        <c:ser>
          <c:idx val="0"/>
          <c:order val="0"/>
          <c:tx>
            <c:strRef>
              <c:f>Calculations!$D$428</c:f>
              <c:strCache>
                <c:ptCount val="1"/>
                <c:pt idx="0">
                  <c:v>Test-taker</c:v>
                </c:pt>
              </c:strCache>
            </c:strRef>
          </c:tx>
          <c:spPr>
            <a:solidFill>
              <a:srgbClr val="0432FF"/>
            </a:solidFill>
            <a:ln w="12700">
              <a:solidFill>
                <a:srgbClr val="000000"/>
              </a:solidFill>
              <a:prstDash val="solid"/>
            </a:ln>
          </c:spPr>
          <c:invertIfNegative val="0"/>
          <c:cat>
            <c:strRef>
              <c:f>Calculations!$C$430:$C$441</c:f>
              <c:strCache>
                <c:ptCount val="12"/>
                <c:pt idx="0">
                  <c:v>Self-Confusion / Dissociation</c:v>
                </c:pt>
                <c:pt idx="1">
                  <c:v>Subjective Awareness of Alters</c:v>
                </c:pt>
                <c:pt idx="2">
                  <c:v>Persecutory Intrusions</c:v>
                </c:pt>
                <c:pt idx="3">
                  <c:v>Angry Intrusions</c:v>
                </c:pt>
                <c:pt idx="4">
                  <c:v>Flashbacks</c:v>
                </c:pt>
                <c:pt idx="5">
                  <c:v>Derealization / Depersonalization</c:v>
                </c:pt>
                <c:pt idx="6">
                  <c:v>Trance</c:v>
                </c:pt>
                <c:pt idx="7">
                  <c:v>Autobiographical Memory</c:v>
                </c:pt>
                <c:pt idx="8">
                  <c:v>Amnestic Disorientation</c:v>
                </c:pt>
                <c:pt idx="9">
                  <c:v>Distress about Memory</c:v>
                </c:pt>
                <c:pt idx="10">
                  <c:v>Amnesia</c:v>
                </c:pt>
                <c:pt idx="11">
                  <c:v>Body Symptoms</c:v>
                </c:pt>
              </c:strCache>
            </c:strRef>
          </c:cat>
          <c:val>
            <c:numRef>
              <c:f>Calculations!$D$430:$D$441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29D9-AE4A-AB36-82FD94F90EDE}"/>
            </c:ext>
          </c:extLst>
        </c:ser>
        <c:ser>
          <c:idx val="1"/>
          <c:order val="1"/>
          <c:tx>
            <c:strRef>
              <c:f>Calculations!$E$428</c:f>
              <c:strCache>
                <c:ptCount val="1"/>
                <c:pt idx="0">
                  <c:v>Nondissociative</c:v>
                </c:pt>
              </c:strCache>
            </c:strRef>
          </c:tx>
          <c:spPr>
            <a:pattFill prst="wdUpDiag">
              <a:fgClr>
                <a:srgbClr val="FF00FF"/>
              </a:fgClr>
              <a:bgClr>
                <a:srgbClr val="FFCBFF"/>
              </a:bgClr>
            </a:pattFill>
            <a:ln w="12700">
              <a:solidFill>
                <a:srgbClr val="000000"/>
              </a:solidFill>
              <a:prstDash val="solid"/>
            </a:ln>
          </c:spPr>
          <c:invertIfNegative val="0"/>
          <c:cat>
            <c:strRef>
              <c:f>Calculations!$C$430:$C$441</c:f>
              <c:strCache>
                <c:ptCount val="12"/>
                <c:pt idx="0">
                  <c:v>Self-Confusion / Dissociation</c:v>
                </c:pt>
                <c:pt idx="1">
                  <c:v>Subjective Awareness of Alters</c:v>
                </c:pt>
                <c:pt idx="2">
                  <c:v>Persecutory Intrusions</c:v>
                </c:pt>
                <c:pt idx="3">
                  <c:v>Angry Intrusions</c:v>
                </c:pt>
                <c:pt idx="4">
                  <c:v>Flashbacks</c:v>
                </c:pt>
                <c:pt idx="5">
                  <c:v>Derealization / Depersonalization</c:v>
                </c:pt>
                <c:pt idx="6">
                  <c:v>Trance</c:v>
                </c:pt>
                <c:pt idx="7">
                  <c:v>Autobiographical Memory</c:v>
                </c:pt>
                <c:pt idx="8">
                  <c:v>Amnestic Disorientation</c:v>
                </c:pt>
                <c:pt idx="9">
                  <c:v>Distress about Memory</c:v>
                </c:pt>
                <c:pt idx="10">
                  <c:v>Amnesia</c:v>
                </c:pt>
                <c:pt idx="11">
                  <c:v>Body Symptoms</c:v>
                </c:pt>
              </c:strCache>
            </c:strRef>
          </c:cat>
          <c:val>
            <c:numRef>
              <c:f>Calculations!$E$430:$E$441</c:f>
              <c:numCache>
                <c:formatCode>0.00</c:formatCode>
                <c:ptCount val="12"/>
                <c:pt idx="0">
                  <c:v>12.79</c:v>
                </c:pt>
                <c:pt idx="1">
                  <c:v>4.53</c:v>
                </c:pt>
                <c:pt idx="2">
                  <c:v>4.49</c:v>
                </c:pt>
                <c:pt idx="3">
                  <c:v>5.88</c:v>
                </c:pt>
                <c:pt idx="4">
                  <c:v>8.5</c:v>
                </c:pt>
                <c:pt idx="5">
                  <c:v>4.3</c:v>
                </c:pt>
                <c:pt idx="6">
                  <c:v>4.05</c:v>
                </c:pt>
                <c:pt idx="7">
                  <c:v>18.91</c:v>
                </c:pt>
                <c:pt idx="8">
                  <c:v>13.23</c:v>
                </c:pt>
                <c:pt idx="9">
                  <c:v>12.32</c:v>
                </c:pt>
                <c:pt idx="10">
                  <c:v>2.79</c:v>
                </c:pt>
                <c:pt idx="11">
                  <c:v>1.99</c:v>
                </c:pt>
              </c:numCache>
            </c:numRef>
          </c:val>
          <c:extLst>
            <c:ext xmlns:c16="http://schemas.microsoft.com/office/drawing/2014/chart" uri="{C3380CC4-5D6E-409C-BE32-E72D297353CC}">
              <c16:uniqueId val="{00000003-29D9-AE4A-AB36-82FD94F90EDE}"/>
            </c:ext>
          </c:extLst>
        </c:ser>
        <c:ser>
          <c:idx val="4"/>
          <c:order val="2"/>
          <c:tx>
            <c:strRef>
              <c:f>Calculations!$H$428</c:f>
              <c:strCache>
                <c:ptCount val="1"/>
                <c:pt idx="0">
                  <c:v>PTSD</c:v>
                </c:pt>
              </c:strCache>
            </c:strRef>
          </c:tx>
          <c:spPr>
            <a:pattFill prst="weave">
              <a:fgClr>
                <a:schemeClr val="accent4">
                  <a:lumMod val="20000"/>
                  <a:lumOff val="80000"/>
                </a:schemeClr>
              </a:fgClr>
              <a:bgClr>
                <a:srgbClr val="7030A0"/>
              </a:bgClr>
            </a:pattFill>
            <a:ln w="12700">
              <a:solidFill>
                <a:srgbClr val="000000"/>
              </a:solidFill>
              <a:prstDash val="solid"/>
            </a:ln>
          </c:spPr>
          <c:invertIfNegative val="0"/>
          <c:cat>
            <c:strRef>
              <c:f>Calculations!$C$430:$C$441</c:f>
              <c:strCache>
                <c:ptCount val="12"/>
                <c:pt idx="0">
                  <c:v>Self-Confusion / Dissociation</c:v>
                </c:pt>
                <c:pt idx="1">
                  <c:v>Subjective Awareness of Alters</c:v>
                </c:pt>
                <c:pt idx="2">
                  <c:v>Persecutory Intrusions</c:v>
                </c:pt>
                <c:pt idx="3">
                  <c:v>Angry Intrusions</c:v>
                </c:pt>
                <c:pt idx="4">
                  <c:v>Flashbacks</c:v>
                </c:pt>
                <c:pt idx="5">
                  <c:v>Derealization / Depersonalization</c:v>
                </c:pt>
                <c:pt idx="6">
                  <c:v>Trance</c:v>
                </c:pt>
                <c:pt idx="7">
                  <c:v>Autobiographical Memory</c:v>
                </c:pt>
                <c:pt idx="8">
                  <c:v>Amnestic Disorientation</c:v>
                </c:pt>
                <c:pt idx="9">
                  <c:v>Distress about Memory</c:v>
                </c:pt>
                <c:pt idx="10">
                  <c:v>Amnesia</c:v>
                </c:pt>
                <c:pt idx="11">
                  <c:v>Body Symptoms</c:v>
                </c:pt>
              </c:strCache>
            </c:strRef>
          </c:cat>
          <c:val>
            <c:numRef>
              <c:f>Calculations!$H$430:$H$441</c:f>
              <c:numCache>
                <c:formatCode>0.00</c:formatCode>
                <c:ptCount val="12"/>
                <c:pt idx="0">
                  <c:v>19.829999999999998</c:v>
                </c:pt>
                <c:pt idx="1">
                  <c:v>5.36</c:v>
                </c:pt>
                <c:pt idx="2">
                  <c:v>5.32</c:v>
                </c:pt>
                <c:pt idx="3">
                  <c:v>6.03</c:v>
                </c:pt>
                <c:pt idx="4">
                  <c:v>23.04</c:v>
                </c:pt>
                <c:pt idx="5">
                  <c:v>4.91</c:v>
                </c:pt>
                <c:pt idx="6">
                  <c:v>11.73</c:v>
                </c:pt>
                <c:pt idx="7">
                  <c:v>30.36</c:v>
                </c:pt>
                <c:pt idx="8">
                  <c:v>17.68</c:v>
                </c:pt>
                <c:pt idx="9">
                  <c:v>19.39</c:v>
                </c:pt>
                <c:pt idx="10">
                  <c:v>3.57</c:v>
                </c:pt>
                <c:pt idx="11">
                  <c:v>3.06</c:v>
                </c:pt>
              </c:numCache>
            </c:numRef>
          </c:val>
          <c:extLst>
            <c:ext xmlns:c16="http://schemas.microsoft.com/office/drawing/2014/chart" uri="{C3380CC4-5D6E-409C-BE32-E72D297353CC}">
              <c16:uniqueId val="{00000000-29D9-AE4A-AB36-82FD94F90EDE}"/>
            </c:ext>
          </c:extLst>
        </c:ser>
        <c:ser>
          <c:idx val="3"/>
          <c:order val="3"/>
          <c:tx>
            <c:strRef>
              <c:f>Calculations!$G$428</c:f>
              <c:strCache>
                <c:ptCount val="1"/>
                <c:pt idx="0">
                  <c:v>OSDD, Type 1a</c:v>
                </c:pt>
              </c:strCache>
            </c:strRef>
          </c:tx>
          <c:spPr>
            <a:solidFill>
              <a:srgbClr val="93CDDD"/>
            </a:solidFill>
            <a:ln w="12700">
              <a:solidFill>
                <a:srgbClr val="000000"/>
              </a:solidFill>
              <a:prstDash val="solid"/>
            </a:ln>
          </c:spPr>
          <c:invertIfNegative val="0"/>
          <c:cat>
            <c:strRef>
              <c:f>Calculations!$C$430:$C$441</c:f>
              <c:strCache>
                <c:ptCount val="12"/>
                <c:pt idx="0">
                  <c:v>Self-Confusion / Dissociation</c:v>
                </c:pt>
                <c:pt idx="1">
                  <c:v>Subjective Awareness of Alters</c:v>
                </c:pt>
                <c:pt idx="2">
                  <c:v>Persecutory Intrusions</c:v>
                </c:pt>
                <c:pt idx="3">
                  <c:v>Angry Intrusions</c:v>
                </c:pt>
                <c:pt idx="4">
                  <c:v>Flashbacks</c:v>
                </c:pt>
                <c:pt idx="5">
                  <c:v>Derealization / Depersonalization</c:v>
                </c:pt>
                <c:pt idx="6">
                  <c:v>Trance</c:v>
                </c:pt>
                <c:pt idx="7">
                  <c:v>Autobiographical Memory</c:v>
                </c:pt>
                <c:pt idx="8">
                  <c:v>Amnestic Disorientation</c:v>
                </c:pt>
                <c:pt idx="9">
                  <c:v>Distress about Memory</c:v>
                </c:pt>
                <c:pt idx="10">
                  <c:v>Amnesia</c:v>
                </c:pt>
                <c:pt idx="11">
                  <c:v>Body Symptoms</c:v>
                </c:pt>
              </c:strCache>
            </c:strRef>
          </c:cat>
          <c:val>
            <c:numRef>
              <c:f>Calculations!$G$430:$G$441</c:f>
              <c:numCache>
                <c:formatCode>0.00</c:formatCode>
                <c:ptCount val="12"/>
                <c:pt idx="0">
                  <c:v>40.76</c:v>
                </c:pt>
                <c:pt idx="1">
                  <c:v>33.22</c:v>
                </c:pt>
                <c:pt idx="2">
                  <c:v>37.54</c:v>
                </c:pt>
                <c:pt idx="3">
                  <c:v>23.48</c:v>
                </c:pt>
                <c:pt idx="4">
                  <c:v>32.99</c:v>
                </c:pt>
                <c:pt idx="5">
                  <c:v>24.72</c:v>
                </c:pt>
                <c:pt idx="6">
                  <c:v>20.63</c:v>
                </c:pt>
                <c:pt idx="7">
                  <c:v>51.42</c:v>
                </c:pt>
                <c:pt idx="8">
                  <c:v>30.52</c:v>
                </c:pt>
                <c:pt idx="9">
                  <c:v>25.68</c:v>
                </c:pt>
                <c:pt idx="10">
                  <c:v>5.7</c:v>
                </c:pt>
                <c:pt idx="11">
                  <c:v>8.73</c:v>
                </c:pt>
              </c:numCache>
            </c:numRef>
          </c:val>
          <c:extLst>
            <c:ext xmlns:c16="http://schemas.microsoft.com/office/drawing/2014/chart" uri="{C3380CC4-5D6E-409C-BE32-E72D297353CC}">
              <c16:uniqueId val="{00000001-29D9-AE4A-AB36-82FD94F90EDE}"/>
            </c:ext>
          </c:extLst>
        </c:ser>
        <c:ser>
          <c:idx val="2"/>
          <c:order val="4"/>
          <c:tx>
            <c:strRef>
              <c:f>Calculations!$F$428</c:f>
              <c:strCache>
                <c:ptCount val="1"/>
                <c:pt idx="0">
                  <c:v>DID</c:v>
                </c:pt>
              </c:strCache>
            </c:strRef>
          </c:tx>
          <c:spPr>
            <a:solidFill>
              <a:srgbClr val="FFF58C"/>
            </a:solidFill>
            <a:ln w="12700">
              <a:solidFill>
                <a:srgbClr val="000000"/>
              </a:solidFill>
              <a:prstDash val="solid"/>
            </a:ln>
          </c:spPr>
          <c:invertIfNegative val="0"/>
          <c:cat>
            <c:strRef>
              <c:f>Calculations!$C$430:$C$441</c:f>
              <c:strCache>
                <c:ptCount val="12"/>
                <c:pt idx="0">
                  <c:v>Self-Confusion / Dissociation</c:v>
                </c:pt>
                <c:pt idx="1">
                  <c:v>Subjective Awareness of Alters</c:v>
                </c:pt>
                <c:pt idx="2">
                  <c:v>Persecutory Intrusions</c:v>
                </c:pt>
                <c:pt idx="3">
                  <c:v>Angry Intrusions</c:v>
                </c:pt>
                <c:pt idx="4">
                  <c:v>Flashbacks</c:v>
                </c:pt>
                <c:pt idx="5">
                  <c:v>Derealization / Depersonalization</c:v>
                </c:pt>
                <c:pt idx="6">
                  <c:v>Trance</c:v>
                </c:pt>
                <c:pt idx="7">
                  <c:v>Autobiographical Memory</c:v>
                </c:pt>
                <c:pt idx="8">
                  <c:v>Amnestic Disorientation</c:v>
                </c:pt>
                <c:pt idx="9">
                  <c:v>Distress about Memory</c:v>
                </c:pt>
                <c:pt idx="10">
                  <c:v>Amnesia</c:v>
                </c:pt>
                <c:pt idx="11">
                  <c:v>Body Symptoms</c:v>
                </c:pt>
              </c:strCache>
            </c:strRef>
          </c:cat>
          <c:val>
            <c:numRef>
              <c:f>Calculations!$F$430:$F$441</c:f>
              <c:numCache>
                <c:formatCode>0.00</c:formatCode>
                <c:ptCount val="12"/>
                <c:pt idx="0">
                  <c:v>63.43</c:v>
                </c:pt>
                <c:pt idx="1">
                  <c:v>59.88</c:v>
                </c:pt>
                <c:pt idx="2">
                  <c:v>57.64</c:v>
                </c:pt>
                <c:pt idx="3">
                  <c:v>55.21</c:v>
                </c:pt>
                <c:pt idx="4">
                  <c:v>54.17</c:v>
                </c:pt>
                <c:pt idx="5">
                  <c:v>44.75</c:v>
                </c:pt>
                <c:pt idx="6">
                  <c:v>42.01</c:v>
                </c:pt>
                <c:pt idx="7">
                  <c:v>66.41</c:v>
                </c:pt>
                <c:pt idx="8">
                  <c:v>59.22</c:v>
                </c:pt>
                <c:pt idx="9">
                  <c:v>57.06</c:v>
                </c:pt>
                <c:pt idx="10">
                  <c:v>40.51</c:v>
                </c:pt>
                <c:pt idx="11">
                  <c:v>22.72</c:v>
                </c:pt>
              </c:numCache>
            </c:numRef>
          </c:val>
          <c:extLst>
            <c:ext xmlns:c16="http://schemas.microsoft.com/office/drawing/2014/chart" uri="{C3380CC4-5D6E-409C-BE32-E72D297353CC}">
              <c16:uniqueId val="{00000002-29D9-AE4A-AB36-82FD94F90EDE}"/>
            </c:ext>
          </c:extLst>
        </c:ser>
        <c:dLbls>
          <c:showLegendKey val="0"/>
          <c:showVal val="0"/>
          <c:showCatName val="0"/>
          <c:showSerName val="0"/>
          <c:showPercent val="0"/>
          <c:showBubbleSize val="0"/>
        </c:dLbls>
        <c:gapWidth val="150"/>
        <c:axId val="818116688"/>
        <c:axId val="815863184"/>
      </c:barChart>
      <c:catAx>
        <c:axId val="818116688"/>
        <c:scaling>
          <c:orientation val="maxMin"/>
        </c:scaling>
        <c:delete val="0"/>
        <c:axPos val="l"/>
        <c:majorGridlines>
          <c:spPr>
            <a:ln w="3175">
              <a:solidFill>
                <a:srgbClr val="868686"/>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5863184"/>
        <c:crosses val="autoZero"/>
        <c:auto val="1"/>
        <c:lblAlgn val="ctr"/>
        <c:lblOffset val="100"/>
        <c:tickLblSkip val="1"/>
        <c:tickMarkSkip val="1"/>
        <c:noMultiLvlLbl val="0"/>
      </c:catAx>
      <c:valAx>
        <c:axId val="815863184"/>
        <c:scaling>
          <c:orientation val="minMax"/>
          <c:max val="100"/>
        </c:scaling>
        <c:delete val="0"/>
        <c:axPos val="t"/>
        <c:majorGridlines>
          <c:spPr>
            <a:ln w="3175">
              <a:solidFill>
                <a:srgbClr val="000000"/>
              </a:solidFill>
              <a:prstDash val="solid"/>
            </a:ln>
          </c:spPr>
        </c:majorGridlines>
        <c:numFmt formatCode="0" sourceLinked="0"/>
        <c:majorTickMark val="out"/>
        <c:minorTickMark val="none"/>
        <c:tickLblPos val="low"/>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8116688"/>
        <c:crosses val="autoZero"/>
        <c:crossBetween val="between"/>
      </c:valAx>
      <c:spPr>
        <a:solidFill>
          <a:schemeClr val="bg1">
            <a:lumMod val="75000"/>
          </a:schemeClr>
        </a:solidFill>
        <a:ln w="12700">
          <a:solidFill>
            <a:srgbClr val="000000"/>
          </a:solidFill>
          <a:prstDash val="solid"/>
        </a:ln>
      </c:spPr>
    </c:plotArea>
    <c:legend>
      <c:legendPos val="r"/>
      <c:layout>
        <c:manualLayout>
          <c:xMode val="edge"/>
          <c:yMode val="edge"/>
          <c:x val="1.7371443582764681E-2"/>
          <c:y val="6.577188153156556E-2"/>
          <c:w val="0.95916107038224618"/>
          <c:h val="2.6120230546403E-2"/>
        </c:manualLayout>
      </c:layout>
      <c:overlay val="0"/>
      <c:spPr>
        <a:solidFill>
          <a:srgbClr val="BFBFBF"/>
        </a:solidFill>
        <a:ln w="3175">
          <a:solidFill>
            <a:srgbClr val="000000"/>
          </a:solidFill>
          <a:prstDash val="solid"/>
        </a:ln>
      </c:spPr>
      <c:txPr>
        <a:bodyPr/>
        <a:lstStyle/>
        <a:p>
          <a:pPr>
            <a:defRPr sz="108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c:oddFooter>&amp;CPage 9 of 12</c:oddFooter>
    </c:headerFooter>
    <c:pageMargins b="1" l="0.75" r="0.75" t="1" header="0.5" footer="0.5"/>
    <c:pageSetup paperSize="0" orientation="landscape" blackAndWhite="1"/>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1" i="0" u="none" strike="noStrike" baseline="0">
                <a:solidFill>
                  <a:srgbClr val="000000"/>
                </a:solidFill>
                <a:latin typeface="Arial"/>
                <a:ea typeface="Arial"/>
                <a:cs typeface="Arial"/>
              </a:defRPr>
            </a:pPr>
            <a:r>
              <a:rPr lang="en-US"/>
              <a:t>MID Dissociation Scales Graph</a:t>
            </a:r>
          </a:p>
        </c:rich>
      </c:tx>
      <c:layout>
        <c:manualLayout>
          <c:xMode val="edge"/>
          <c:yMode val="edge"/>
          <c:x val="0.346236768230058"/>
          <c:y val="1.0263867450811801E-2"/>
        </c:manualLayout>
      </c:layout>
      <c:overlay val="0"/>
      <c:spPr>
        <a:noFill/>
        <a:ln w="25400">
          <a:noFill/>
        </a:ln>
      </c:spPr>
    </c:title>
    <c:autoTitleDeleted val="0"/>
    <c:plotArea>
      <c:layout>
        <c:manualLayout>
          <c:layoutTarget val="inner"/>
          <c:xMode val="edge"/>
          <c:yMode val="edge"/>
          <c:x val="0.43456585527883962"/>
          <c:y val="0.11143690967041635"/>
          <c:w val="0.53010766604388904"/>
          <c:h val="0.86510263929618803"/>
        </c:manualLayout>
      </c:layout>
      <c:barChart>
        <c:barDir val="bar"/>
        <c:grouping val="clustered"/>
        <c:varyColors val="0"/>
        <c:ser>
          <c:idx val="0"/>
          <c:order val="0"/>
          <c:tx>
            <c:strRef>
              <c:f>Calculations!$D$315</c:f>
              <c:strCache>
                <c:ptCount val="1"/>
                <c:pt idx="0">
                  <c:v>Test-taker</c:v>
                </c:pt>
              </c:strCache>
            </c:strRef>
          </c:tx>
          <c:spPr>
            <a:solidFill>
              <a:srgbClr val="0432FF"/>
            </a:solidFill>
            <a:ln w="12700">
              <a:solidFill>
                <a:sysClr val="windowText" lastClr="000000"/>
              </a:solidFill>
              <a:prstDash val="solid"/>
            </a:ln>
          </c:spPr>
          <c:invertIfNegative val="0"/>
          <c:cat>
            <c:strRef>
              <c:f>Calculations!$C$316:$C$343</c:f>
              <c:strCache>
                <c:ptCount val="28"/>
                <c:pt idx="0">
                  <c:v>GENERAL PT DISSOCIATIVE SYMPTOMS</c:v>
                </c:pt>
                <c:pt idx="1">
                  <c:v>Memory Problems</c:v>
                </c:pt>
                <c:pt idx="2">
                  <c:v>Depersonalization</c:v>
                </c:pt>
                <c:pt idx="3">
                  <c:v>Derealization</c:v>
                </c:pt>
                <c:pt idx="4">
                  <c:v>Flashbacks</c:v>
                </c:pt>
                <c:pt idx="5">
                  <c:v>Somatoform Symptoms</c:v>
                </c:pt>
                <c:pt idx="6">
                  <c:v>Trance</c:v>
                </c:pt>
                <c:pt idx="8">
                  <c:v>PARTIALLY-DISSOCIATED INTRUSIONS</c:v>
                </c:pt>
                <c:pt idx="9">
                  <c:v>Child Voices</c:v>
                </c:pt>
                <c:pt idx="10">
                  <c:v>Voices / Internal Struggle</c:v>
                </c:pt>
                <c:pt idx="11">
                  <c:v>Persecutory Voices</c:v>
                </c:pt>
                <c:pt idx="12">
                  <c:v>Speech Insertion</c:v>
                </c:pt>
                <c:pt idx="13">
                  <c:v>Thought Insertion</c:v>
                </c:pt>
                <c:pt idx="14">
                  <c:v>'Made' / Intrusive Emotions</c:v>
                </c:pt>
                <c:pt idx="15">
                  <c:v>'Made' / Intrusive Impulses</c:v>
                </c:pt>
                <c:pt idx="16">
                  <c:v>'Made' / Intrusive Actions</c:v>
                </c:pt>
                <c:pt idx="17">
                  <c:v>Temporary Loss of Knowledge</c:v>
                </c:pt>
                <c:pt idx="18">
                  <c:v>Experiences of Self-Alteration</c:v>
                </c:pt>
                <c:pt idx="19">
                  <c:v>Puzzlement about Oneself</c:v>
                </c:pt>
                <c:pt idx="21">
                  <c:v>FULLY-DISSOCIATED ACTIONS (AMNESIA)</c:v>
                </c:pt>
                <c:pt idx="22">
                  <c:v>Time Loss</c:v>
                </c:pt>
                <c:pt idx="23">
                  <c:v>"Coming to"</c:v>
                </c:pt>
                <c:pt idx="24">
                  <c:v>Fugues</c:v>
                </c:pt>
                <c:pt idx="25">
                  <c:v>Being Told of Disremembered Actions</c:v>
                </c:pt>
                <c:pt idx="26">
                  <c:v>Finding Objects Among Possessions</c:v>
                </c:pt>
                <c:pt idx="27">
                  <c:v>Finding Evidence of One's Actions</c:v>
                </c:pt>
              </c:strCache>
            </c:strRef>
          </c:cat>
          <c:val>
            <c:numRef>
              <c:f>Calculations!$D$316:$D$343</c:f>
              <c:numCache>
                <c:formatCode>0.00</c:formatCode>
                <c:ptCount val="28"/>
                <c:pt idx="1">
                  <c:v>0</c:v>
                </c:pt>
                <c:pt idx="2">
                  <c:v>0</c:v>
                </c:pt>
                <c:pt idx="3">
                  <c:v>0</c:v>
                </c:pt>
                <c:pt idx="4">
                  <c:v>0</c:v>
                </c:pt>
                <c:pt idx="5">
                  <c:v>0</c:v>
                </c:pt>
                <c:pt idx="6">
                  <c:v>0</c:v>
                </c:pt>
                <c:pt idx="9">
                  <c:v>0</c:v>
                </c:pt>
                <c:pt idx="10">
                  <c:v>0</c:v>
                </c:pt>
                <c:pt idx="11">
                  <c:v>0</c:v>
                </c:pt>
                <c:pt idx="12">
                  <c:v>0</c:v>
                </c:pt>
                <c:pt idx="13">
                  <c:v>0</c:v>
                </c:pt>
                <c:pt idx="14">
                  <c:v>0</c:v>
                </c:pt>
                <c:pt idx="15">
                  <c:v>0</c:v>
                </c:pt>
                <c:pt idx="16">
                  <c:v>0</c:v>
                </c:pt>
                <c:pt idx="17">
                  <c:v>0</c:v>
                </c:pt>
                <c:pt idx="18">
                  <c:v>0</c:v>
                </c:pt>
                <c:pt idx="19">
                  <c:v>0</c:v>
                </c:pt>
                <c:pt idx="22">
                  <c:v>0</c:v>
                </c:pt>
                <c:pt idx="23">
                  <c:v>0</c:v>
                </c:pt>
                <c:pt idx="24">
                  <c:v>0</c:v>
                </c:pt>
                <c:pt idx="25">
                  <c:v>0</c:v>
                </c:pt>
                <c:pt idx="26">
                  <c:v>0</c:v>
                </c:pt>
                <c:pt idx="27">
                  <c:v>0</c:v>
                </c:pt>
              </c:numCache>
            </c:numRef>
          </c:val>
          <c:extLst>
            <c:ext xmlns:c16="http://schemas.microsoft.com/office/drawing/2014/chart" uri="{C3380CC4-5D6E-409C-BE32-E72D297353CC}">
              <c16:uniqueId val="{00000000-85D1-DA45-947E-5B7BB5F412CC}"/>
            </c:ext>
          </c:extLst>
        </c:ser>
        <c:ser>
          <c:idx val="1"/>
          <c:order val="1"/>
          <c:tx>
            <c:strRef>
              <c:f>Calculations!$E$315</c:f>
              <c:strCache>
                <c:ptCount val="1"/>
                <c:pt idx="0">
                  <c:v>Nondissociative</c:v>
                </c:pt>
              </c:strCache>
            </c:strRef>
          </c:tx>
          <c:spPr>
            <a:pattFill prst="wdUpDiag">
              <a:fgClr>
                <a:srgbClr val="FF00FF"/>
              </a:fgClr>
              <a:bgClr>
                <a:srgbClr val="FFCBFF"/>
              </a:bgClr>
            </a:pattFill>
            <a:ln w="12700">
              <a:solidFill>
                <a:sysClr val="windowText" lastClr="000000"/>
              </a:solidFill>
              <a:prstDash val="solid"/>
            </a:ln>
          </c:spPr>
          <c:invertIfNegative val="0"/>
          <c:cat>
            <c:strRef>
              <c:f>Calculations!$C$316:$C$343</c:f>
              <c:strCache>
                <c:ptCount val="28"/>
                <c:pt idx="0">
                  <c:v>GENERAL PT DISSOCIATIVE SYMPTOMS</c:v>
                </c:pt>
                <c:pt idx="1">
                  <c:v>Memory Problems</c:v>
                </c:pt>
                <c:pt idx="2">
                  <c:v>Depersonalization</c:v>
                </c:pt>
                <c:pt idx="3">
                  <c:v>Derealization</c:v>
                </c:pt>
                <c:pt idx="4">
                  <c:v>Flashbacks</c:v>
                </c:pt>
                <c:pt idx="5">
                  <c:v>Somatoform Symptoms</c:v>
                </c:pt>
                <c:pt idx="6">
                  <c:v>Trance</c:v>
                </c:pt>
                <c:pt idx="8">
                  <c:v>PARTIALLY-DISSOCIATED INTRUSIONS</c:v>
                </c:pt>
                <c:pt idx="9">
                  <c:v>Child Voices</c:v>
                </c:pt>
                <c:pt idx="10">
                  <c:v>Voices / Internal Struggle</c:v>
                </c:pt>
                <c:pt idx="11">
                  <c:v>Persecutory Voices</c:v>
                </c:pt>
                <c:pt idx="12">
                  <c:v>Speech Insertion</c:v>
                </c:pt>
                <c:pt idx="13">
                  <c:v>Thought Insertion</c:v>
                </c:pt>
                <c:pt idx="14">
                  <c:v>'Made' / Intrusive Emotions</c:v>
                </c:pt>
                <c:pt idx="15">
                  <c:v>'Made' / Intrusive Impulses</c:v>
                </c:pt>
                <c:pt idx="16">
                  <c:v>'Made' / Intrusive Actions</c:v>
                </c:pt>
                <c:pt idx="17">
                  <c:v>Temporary Loss of Knowledge</c:v>
                </c:pt>
                <c:pt idx="18">
                  <c:v>Experiences of Self-Alteration</c:v>
                </c:pt>
                <c:pt idx="19">
                  <c:v>Puzzlement about Oneself</c:v>
                </c:pt>
                <c:pt idx="21">
                  <c:v>FULLY-DISSOCIATED ACTIONS (AMNESIA)</c:v>
                </c:pt>
                <c:pt idx="22">
                  <c:v>Time Loss</c:v>
                </c:pt>
                <c:pt idx="23">
                  <c:v>"Coming to"</c:v>
                </c:pt>
                <c:pt idx="24">
                  <c:v>Fugues</c:v>
                </c:pt>
                <c:pt idx="25">
                  <c:v>Being Told of Disremembered Actions</c:v>
                </c:pt>
                <c:pt idx="26">
                  <c:v>Finding Objects Among Possessions</c:v>
                </c:pt>
                <c:pt idx="27">
                  <c:v>Finding Evidence of One's Actions</c:v>
                </c:pt>
              </c:strCache>
            </c:strRef>
          </c:cat>
          <c:val>
            <c:numLit>
              <c:formatCode>General</c:formatCode>
              <c:ptCount val="28"/>
              <c:pt idx="1">
                <c:v>18</c:v>
              </c:pt>
              <c:pt idx="2">
                <c:v>8</c:v>
              </c:pt>
              <c:pt idx="3">
                <c:v>7</c:v>
              </c:pt>
              <c:pt idx="4">
                <c:v>10</c:v>
              </c:pt>
              <c:pt idx="5">
                <c:v>2</c:v>
              </c:pt>
              <c:pt idx="6">
                <c:v>8</c:v>
              </c:pt>
              <c:pt idx="9">
                <c:v>3</c:v>
              </c:pt>
              <c:pt idx="10">
                <c:v>8</c:v>
              </c:pt>
              <c:pt idx="11">
                <c:v>4</c:v>
              </c:pt>
              <c:pt idx="12">
                <c:v>5</c:v>
              </c:pt>
              <c:pt idx="13">
                <c:v>14</c:v>
              </c:pt>
              <c:pt idx="14">
                <c:v>17</c:v>
              </c:pt>
              <c:pt idx="15">
                <c:v>6</c:v>
              </c:pt>
              <c:pt idx="16">
                <c:v>7</c:v>
              </c:pt>
              <c:pt idx="17">
                <c:v>4</c:v>
              </c:pt>
              <c:pt idx="18">
                <c:v>5</c:v>
              </c:pt>
              <c:pt idx="19">
                <c:v>18</c:v>
              </c:pt>
              <c:pt idx="22">
                <c:v>6</c:v>
              </c:pt>
              <c:pt idx="23">
                <c:v>1</c:v>
              </c:pt>
              <c:pt idx="24">
                <c:v>1</c:v>
              </c:pt>
              <c:pt idx="25">
                <c:v>4</c:v>
              </c:pt>
              <c:pt idx="26">
                <c:v>1</c:v>
              </c:pt>
              <c:pt idx="27">
                <c:v>1</c:v>
              </c:pt>
            </c:numLit>
          </c:val>
          <c:extLst>
            <c:ext xmlns:c16="http://schemas.microsoft.com/office/drawing/2014/chart" uri="{C3380CC4-5D6E-409C-BE32-E72D297353CC}">
              <c16:uniqueId val="{00000001-85D1-DA45-947E-5B7BB5F412CC}"/>
            </c:ext>
          </c:extLst>
        </c:ser>
        <c:ser>
          <c:idx val="3"/>
          <c:order val="2"/>
          <c:tx>
            <c:strRef>
              <c:f>Calculations!$G$315</c:f>
              <c:strCache>
                <c:ptCount val="1"/>
                <c:pt idx="0">
                  <c:v>OSDD, Type 1a</c:v>
                </c:pt>
              </c:strCache>
            </c:strRef>
          </c:tx>
          <c:spPr>
            <a:solidFill>
              <a:srgbClr val="93CDDD"/>
            </a:solidFill>
            <a:ln w="12700">
              <a:solidFill>
                <a:sysClr val="windowText" lastClr="000000"/>
              </a:solidFill>
              <a:prstDash val="solid"/>
            </a:ln>
          </c:spPr>
          <c:invertIfNegative val="0"/>
          <c:cat>
            <c:strRef>
              <c:f>Calculations!$C$316:$C$343</c:f>
              <c:strCache>
                <c:ptCount val="28"/>
                <c:pt idx="0">
                  <c:v>GENERAL PT DISSOCIATIVE SYMPTOMS</c:v>
                </c:pt>
                <c:pt idx="1">
                  <c:v>Memory Problems</c:v>
                </c:pt>
                <c:pt idx="2">
                  <c:v>Depersonalization</c:v>
                </c:pt>
                <c:pt idx="3">
                  <c:v>Derealization</c:v>
                </c:pt>
                <c:pt idx="4">
                  <c:v>Flashbacks</c:v>
                </c:pt>
                <c:pt idx="5">
                  <c:v>Somatoform Symptoms</c:v>
                </c:pt>
                <c:pt idx="6">
                  <c:v>Trance</c:v>
                </c:pt>
                <c:pt idx="8">
                  <c:v>PARTIALLY-DISSOCIATED INTRUSIONS</c:v>
                </c:pt>
                <c:pt idx="9">
                  <c:v>Child Voices</c:v>
                </c:pt>
                <c:pt idx="10">
                  <c:v>Voices / Internal Struggle</c:v>
                </c:pt>
                <c:pt idx="11">
                  <c:v>Persecutory Voices</c:v>
                </c:pt>
                <c:pt idx="12">
                  <c:v>Speech Insertion</c:v>
                </c:pt>
                <c:pt idx="13">
                  <c:v>Thought Insertion</c:v>
                </c:pt>
                <c:pt idx="14">
                  <c:v>'Made' / Intrusive Emotions</c:v>
                </c:pt>
                <c:pt idx="15">
                  <c:v>'Made' / Intrusive Impulses</c:v>
                </c:pt>
                <c:pt idx="16">
                  <c:v>'Made' / Intrusive Actions</c:v>
                </c:pt>
                <c:pt idx="17">
                  <c:v>Temporary Loss of Knowledge</c:v>
                </c:pt>
                <c:pt idx="18">
                  <c:v>Experiences of Self-Alteration</c:v>
                </c:pt>
                <c:pt idx="19">
                  <c:v>Puzzlement about Oneself</c:v>
                </c:pt>
                <c:pt idx="21">
                  <c:v>FULLY-DISSOCIATED ACTIONS (AMNESIA)</c:v>
                </c:pt>
                <c:pt idx="22">
                  <c:v>Time Loss</c:v>
                </c:pt>
                <c:pt idx="23">
                  <c:v>"Coming to"</c:v>
                </c:pt>
                <c:pt idx="24">
                  <c:v>Fugues</c:v>
                </c:pt>
                <c:pt idx="25">
                  <c:v>Being Told of Disremembered Actions</c:v>
                </c:pt>
                <c:pt idx="26">
                  <c:v>Finding Objects Among Possessions</c:v>
                </c:pt>
                <c:pt idx="27">
                  <c:v>Finding Evidence of One's Actions</c:v>
                </c:pt>
              </c:strCache>
            </c:strRef>
          </c:cat>
          <c:val>
            <c:numLit>
              <c:formatCode>General</c:formatCode>
              <c:ptCount val="28"/>
              <c:pt idx="1">
                <c:v>43.37</c:v>
              </c:pt>
              <c:pt idx="2">
                <c:v>40.1</c:v>
              </c:pt>
              <c:pt idx="3">
                <c:v>28.16</c:v>
              </c:pt>
              <c:pt idx="4">
                <c:v>37.19</c:v>
              </c:pt>
              <c:pt idx="5">
                <c:v>11.15</c:v>
              </c:pt>
              <c:pt idx="6">
                <c:v>28.79</c:v>
              </c:pt>
              <c:pt idx="9">
                <c:v>27.08</c:v>
              </c:pt>
              <c:pt idx="10">
                <c:v>38.840000000000003</c:v>
              </c:pt>
              <c:pt idx="11">
                <c:v>38.75</c:v>
              </c:pt>
              <c:pt idx="12">
                <c:v>19.03</c:v>
              </c:pt>
              <c:pt idx="13">
                <c:v>43.08</c:v>
              </c:pt>
              <c:pt idx="14">
                <c:v>41.79</c:v>
              </c:pt>
              <c:pt idx="15">
                <c:v>36.81</c:v>
              </c:pt>
              <c:pt idx="16">
                <c:v>31.94</c:v>
              </c:pt>
              <c:pt idx="17">
                <c:v>8.83</c:v>
              </c:pt>
              <c:pt idx="18">
                <c:v>25</c:v>
              </c:pt>
              <c:pt idx="19">
                <c:v>42.97</c:v>
              </c:pt>
              <c:pt idx="22">
                <c:v>19.27</c:v>
              </c:pt>
              <c:pt idx="23">
                <c:v>4.2699999999999996</c:v>
              </c:pt>
              <c:pt idx="24">
                <c:v>2.5</c:v>
              </c:pt>
              <c:pt idx="25">
                <c:v>5.2</c:v>
              </c:pt>
              <c:pt idx="26">
                <c:v>1.88</c:v>
              </c:pt>
              <c:pt idx="27">
                <c:v>4.25</c:v>
              </c:pt>
            </c:numLit>
          </c:val>
          <c:extLst>
            <c:ext xmlns:c16="http://schemas.microsoft.com/office/drawing/2014/chart" uri="{C3380CC4-5D6E-409C-BE32-E72D297353CC}">
              <c16:uniqueId val="{00000003-85D1-DA45-947E-5B7BB5F412CC}"/>
            </c:ext>
          </c:extLst>
        </c:ser>
        <c:ser>
          <c:idx val="2"/>
          <c:order val="3"/>
          <c:tx>
            <c:strRef>
              <c:f>Calculations!$F$315</c:f>
              <c:strCache>
                <c:ptCount val="1"/>
                <c:pt idx="0">
                  <c:v>DID</c:v>
                </c:pt>
              </c:strCache>
            </c:strRef>
          </c:tx>
          <c:spPr>
            <a:solidFill>
              <a:srgbClr val="FFF58C"/>
            </a:solidFill>
            <a:ln w="12700">
              <a:solidFill>
                <a:srgbClr val="000000"/>
              </a:solidFill>
              <a:prstDash val="solid"/>
            </a:ln>
          </c:spPr>
          <c:invertIfNegative val="0"/>
          <c:cat>
            <c:strRef>
              <c:f>Calculations!$C$316:$C$343</c:f>
              <c:strCache>
                <c:ptCount val="28"/>
                <c:pt idx="0">
                  <c:v>GENERAL PT DISSOCIATIVE SYMPTOMS</c:v>
                </c:pt>
                <c:pt idx="1">
                  <c:v>Memory Problems</c:v>
                </c:pt>
                <c:pt idx="2">
                  <c:v>Depersonalization</c:v>
                </c:pt>
                <c:pt idx="3">
                  <c:v>Derealization</c:v>
                </c:pt>
                <c:pt idx="4">
                  <c:v>Flashbacks</c:v>
                </c:pt>
                <c:pt idx="5">
                  <c:v>Somatoform Symptoms</c:v>
                </c:pt>
                <c:pt idx="6">
                  <c:v>Trance</c:v>
                </c:pt>
                <c:pt idx="8">
                  <c:v>PARTIALLY-DISSOCIATED INTRUSIONS</c:v>
                </c:pt>
                <c:pt idx="9">
                  <c:v>Child Voices</c:v>
                </c:pt>
                <c:pt idx="10">
                  <c:v>Voices / Internal Struggle</c:v>
                </c:pt>
                <c:pt idx="11">
                  <c:v>Persecutory Voices</c:v>
                </c:pt>
                <c:pt idx="12">
                  <c:v>Speech Insertion</c:v>
                </c:pt>
                <c:pt idx="13">
                  <c:v>Thought Insertion</c:v>
                </c:pt>
                <c:pt idx="14">
                  <c:v>'Made' / Intrusive Emotions</c:v>
                </c:pt>
                <c:pt idx="15">
                  <c:v>'Made' / Intrusive Impulses</c:v>
                </c:pt>
                <c:pt idx="16">
                  <c:v>'Made' / Intrusive Actions</c:v>
                </c:pt>
                <c:pt idx="17">
                  <c:v>Temporary Loss of Knowledge</c:v>
                </c:pt>
                <c:pt idx="18">
                  <c:v>Experiences of Self-Alteration</c:v>
                </c:pt>
                <c:pt idx="19">
                  <c:v>Puzzlement about Oneself</c:v>
                </c:pt>
                <c:pt idx="21">
                  <c:v>FULLY-DISSOCIATED ACTIONS (AMNESIA)</c:v>
                </c:pt>
                <c:pt idx="22">
                  <c:v>Time Loss</c:v>
                </c:pt>
                <c:pt idx="23">
                  <c:v>"Coming to"</c:v>
                </c:pt>
                <c:pt idx="24">
                  <c:v>Fugues</c:v>
                </c:pt>
                <c:pt idx="25">
                  <c:v>Being Told of Disremembered Actions</c:v>
                </c:pt>
                <c:pt idx="26">
                  <c:v>Finding Objects Among Possessions</c:v>
                </c:pt>
                <c:pt idx="27">
                  <c:v>Finding Evidence of One's Actions</c:v>
                </c:pt>
              </c:strCache>
            </c:strRef>
          </c:cat>
          <c:val>
            <c:numLit>
              <c:formatCode>General</c:formatCode>
              <c:ptCount val="28"/>
              <c:pt idx="1">
                <c:v>62.28</c:v>
              </c:pt>
              <c:pt idx="2">
                <c:v>53.37</c:v>
              </c:pt>
              <c:pt idx="3">
                <c:v>45.24</c:v>
              </c:pt>
              <c:pt idx="4">
                <c:v>53.31</c:v>
              </c:pt>
              <c:pt idx="5">
                <c:v>24.67</c:v>
              </c:pt>
              <c:pt idx="6">
                <c:v>48.05</c:v>
              </c:pt>
              <c:pt idx="9">
                <c:v>52.2</c:v>
              </c:pt>
              <c:pt idx="10">
                <c:v>60.73</c:v>
              </c:pt>
              <c:pt idx="11">
                <c:v>54.78</c:v>
              </c:pt>
              <c:pt idx="12">
                <c:v>55.45</c:v>
              </c:pt>
              <c:pt idx="13">
                <c:v>63.85</c:v>
              </c:pt>
              <c:pt idx="14">
                <c:v>68.12</c:v>
              </c:pt>
              <c:pt idx="15">
                <c:v>54.96</c:v>
              </c:pt>
              <c:pt idx="16">
                <c:v>60.79</c:v>
              </c:pt>
              <c:pt idx="17">
                <c:v>40.24</c:v>
              </c:pt>
              <c:pt idx="18">
                <c:v>48.48</c:v>
              </c:pt>
              <c:pt idx="19">
                <c:v>70.790000000000006</c:v>
              </c:pt>
              <c:pt idx="22">
                <c:v>57.07</c:v>
              </c:pt>
              <c:pt idx="23">
                <c:v>38.11</c:v>
              </c:pt>
              <c:pt idx="24">
                <c:v>34.15</c:v>
              </c:pt>
              <c:pt idx="25">
                <c:v>43.72</c:v>
              </c:pt>
              <c:pt idx="26">
                <c:v>34.450000000000003</c:v>
              </c:pt>
              <c:pt idx="27">
                <c:v>30.1</c:v>
              </c:pt>
            </c:numLit>
          </c:val>
          <c:extLst>
            <c:ext xmlns:c16="http://schemas.microsoft.com/office/drawing/2014/chart" uri="{C3380CC4-5D6E-409C-BE32-E72D297353CC}">
              <c16:uniqueId val="{00000002-85D1-DA45-947E-5B7BB5F412CC}"/>
            </c:ext>
          </c:extLst>
        </c:ser>
        <c:dLbls>
          <c:showLegendKey val="0"/>
          <c:showVal val="0"/>
          <c:showCatName val="0"/>
          <c:showSerName val="0"/>
          <c:showPercent val="0"/>
          <c:showBubbleSize val="0"/>
        </c:dLbls>
        <c:gapWidth val="100"/>
        <c:axId val="822195184"/>
        <c:axId val="822209520"/>
      </c:barChart>
      <c:catAx>
        <c:axId val="822195184"/>
        <c:scaling>
          <c:orientation val="maxMin"/>
        </c:scaling>
        <c:delete val="0"/>
        <c:axPos val="l"/>
        <c:majorGridlines>
          <c:spPr>
            <a:ln w="3175">
              <a:solidFill>
                <a:srgbClr val="868686"/>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22209520"/>
        <c:crossesAt val="0"/>
        <c:auto val="1"/>
        <c:lblAlgn val="ctr"/>
        <c:lblOffset val="140"/>
        <c:tickLblSkip val="1"/>
        <c:tickMarkSkip val="1"/>
        <c:noMultiLvlLbl val="0"/>
      </c:catAx>
      <c:valAx>
        <c:axId val="822209520"/>
        <c:scaling>
          <c:orientation val="minMax"/>
          <c:max val="100"/>
          <c:min val="0"/>
        </c:scaling>
        <c:delete val="0"/>
        <c:axPos val="t"/>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22195184"/>
        <c:crosses val="autoZero"/>
        <c:crossBetween val="between"/>
        <c:majorUnit val="10"/>
        <c:minorUnit val="10"/>
      </c:valAx>
      <c:spPr>
        <a:solidFill>
          <a:sysClr val="window" lastClr="FFFFFF">
            <a:lumMod val="75000"/>
          </a:sysClr>
        </a:solidFill>
        <a:ln w="12700">
          <a:solidFill>
            <a:srgbClr val="000000"/>
          </a:solidFill>
          <a:prstDash val="solid"/>
        </a:ln>
      </c:spPr>
    </c:plotArea>
    <c:legend>
      <c:legendPos val="r"/>
      <c:layout>
        <c:manualLayout>
          <c:xMode val="edge"/>
          <c:yMode val="edge"/>
          <c:x val="2.4118308202307703E-2"/>
          <c:y val="4.8233265376680684E-2"/>
          <c:w val="0.94035979447882545"/>
          <c:h val="2.6055372110744199E-2"/>
        </c:manualLayout>
      </c:layout>
      <c:overlay val="0"/>
      <c:spPr>
        <a:solidFill>
          <a:sysClr val="window" lastClr="FFFFFF">
            <a:lumMod val="75000"/>
          </a:sysClr>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50" b="0" i="0" u="none" strike="noStrike" baseline="0">
          <a:solidFill>
            <a:srgbClr val="000000"/>
          </a:solidFill>
          <a:latin typeface="Arial"/>
          <a:ea typeface="Arial"/>
          <a:cs typeface="Arial"/>
        </a:defRPr>
      </a:pPr>
      <a:endParaRPr lang="en-US"/>
    </a:p>
  </c:txPr>
  <c:printSettings>
    <c:headerFooter/>
    <c:pageMargins b="1" l="0.75" r="0.75" t="1" header="0.5" footer="0.5"/>
    <c:pageSetup orientation="portrait" blackAndWhite="1"/>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sz="1430"/>
              <a:t>MID BPD-DID</a:t>
            </a:r>
            <a:r>
              <a:rPr lang="en-US" sz="1430" baseline="0"/>
              <a:t> Mean Score Comparison </a:t>
            </a:r>
            <a:r>
              <a:rPr lang="en-US" sz="1430"/>
              <a:t>Scales Graph</a:t>
            </a:r>
          </a:p>
        </c:rich>
      </c:tx>
      <c:layout>
        <c:manualLayout>
          <c:xMode val="edge"/>
          <c:yMode val="edge"/>
          <c:x val="0.2052561009871533"/>
          <c:y val="9.4714775603182283E-3"/>
        </c:manualLayout>
      </c:layout>
      <c:overlay val="0"/>
      <c:spPr>
        <a:noFill/>
        <a:ln w="25400">
          <a:noFill/>
        </a:ln>
      </c:spPr>
    </c:title>
    <c:autoTitleDeleted val="0"/>
    <c:plotArea>
      <c:layout>
        <c:manualLayout>
          <c:layoutTarget val="inner"/>
          <c:xMode val="edge"/>
          <c:yMode val="edge"/>
          <c:x val="0.44405384499051737"/>
          <c:y val="0.14395601278519235"/>
          <c:w val="0.5246942390540188"/>
          <c:h val="0.8453609765796638"/>
        </c:manualLayout>
      </c:layout>
      <c:barChart>
        <c:barDir val="bar"/>
        <c:grouping val="clustered"/>
        <c:varyColors val="0"/>
        <c:ser>
          <c:idx val="0"/>
          <c:order val="0"/>
          <c:tx>
            <c:strRef>
              <c:f>Calculations!$D$445</c:f>
              <c:strCache>
                <c:ptCount val="1"/>
                <c:pt idx="0">
                  <c:v>Test-taker</c:v>
                </c:pt>
              </c:strCache>
            </c:strRef>
          </c:tx>
          <c:spPr>
            <a:solidFill>
              <a:srgbClr val="0432FF"/>
            </a:solidFill>
            <a:ln w="12700" cmpd="dbl">
              <a:solidFill>
                <a:schemeClr val="tx1"/>
              </a:solidFill>
              <a:prstDash val="solid"/>
            </a:ln>
          </c:spPr>
          <c:invertIfNegative val="0"/>
          <c:dPt>
            <c:idx val="7"/>
            <c:invertIfNegative val="0"/>
            <c:bubble3D val="0"/>
            <c:extLst>
              <c:ext xmlns:c16="http://schemas.microsoft.com/office/drawing/2014/chart" uri="{C3380CC4-5D6E-409C-BE32-E72D297353CC}">
                <c16:uniqueId val="{00000000-2AFD-A248-B824-DFD525E86F52}"/>
              </c:ext>
            </c:extLst>
          </c:dPt>
          <c:cat>
            <c:strRef>
              <c:f>Calculations!$C$451:$C$472</c:f>
              <c:strCache>
                <c:ptCount val="22"/>
                <c:pt idx="0">
                  <c:v>DISSOCIATION SCALES</c:v>
                </c:pt>
                <c:pt idx="1">
                  <c:v>Memory Problems</c:v>
                </c:pt>
                <c:pt idx="2">
                  <c:v>Depersonalization</c:v>
                </c:pt>
                <c:pt idx="3">
                  <c:v>Derealization</c:v>
                </c:pt>
                <c:pt idx="4">
                  <c:v>Flashbacks</c:v>
                </c:pt>
                <c:pt idx="5">
                  <c:v>Somatoform Symptoms</c:v>
                </c:pt>
                <c:pt idx="6">
                  <c:v>Trance</c:v>
                </c:pt>
                <c:pt idx="7">
                  <c:v>Identity Confusion</c:v>
                </c:pt>
                <c:pt idx="8">
                  <c:v>Voices</c:v>
                </c:pt>
                <c:pt idx="9">
                  <c:v>Ego-Alien Experiences</c:v>
                </c:pt>
                <c:pt idx="10">
                  <c:v>Experiences of Self-Alteration</c:v>
                </c:pt>
                <c:pt idx="11">
                  <c:v>Self-States and Alters</c:v>
                </c:pt>
                <c:pt idx="12">
                  <c:v>Discontinuities of Time (Time Gaps)</c:v>
                </c:pt>
                <c:pt idx="13">
                  <c:v>Disremembered / Discovered Behavior</c:v>
                </c:pt>
                <c:pt idx="15">
                  <c:v>VALIDITY &amp; CHARACTEROLOGICAL SCALES</c:v>
                </c:pt>
                <c:pt idx="16">
                  <c:v>Defensiveness / Minimization</c:v>
                </c:pt>
                <c:pt idx="17">
                  <c:v>Rare Symptoms</c:v>
                </c:pt>
                <c:pt idx="18">
                  <c:v>Emotional Suffering</c:v>
                </c:pt>
                <c:pt idx="19">
                  <c:v>Attention-Seeking Behavior</c:v>
                </c:pt>
                <c:pt idx="20">
                  <c:v>Factitious Behavior</c:v>
                </c:pt>
                <c:pt idx="21">
                  <c:v>Psychosis Screen</c:v>
                </c:pt>
              </c:strCache>
            </c:strRef>
          </c:cat>
          <c:val>
            <c:numRef>
              <c:f>Calculations!$D$451:$D$472</c:f>
              <c:numCache>
                <c:formatCode>0.00</c:formatCode>
                <c:ptCount val="22"/>
                <c:pt idx="1">
                  <c:v>0</c:v>
                </c:pt>
                <c:pt idx="2">
                  <c:v>0</c:v>
                </c:pt>
                <c:pt idx="3">
                  <c:v>0</c:v>
                </c:pt>
                <c:pt idx="4">
                  <c:v>0</c:v>
                </c:pt>
                <c:pt idx="5">
                  <c:v>0</c:v>
                </c:pt>
                <c:pt idx="6">
                  <c:v>0</c:v>
                </c:pt>
                <c:pt idx="7">
                  <c:v>0</c:v>
                </c:pt>
                <c:pt idx="8">
                  <c:v>0</c:v>
                </c:pt>
                <c:pt idx="9">
                  <c:v>0</c:v>
                </c:pt>
                <c:pt idx="10">
                  <c:v>0</c:v>
                </c:pt>
                <c:pt idx="11">
                  <c:v>0</c:v>
                </c:pt>
                <c:pt idx="12">
                  <c:v>0</c:v>
                </c:pt>
                <c:pt idx="13">
                  <c:v>0</c:v>
                </c:pt>
                <c:pt idx="16">
                  <c:v>100</c:v>
                </c:pt>
                <c:pt idx="17">
                  <c:v>0</c:v>
                </c:pt>
                <c:pt idx="18">
                  <c:v>0</c:v>
                </c:pt>
                <c:pt idx="19">
                  <c:v>0</c:v>
                </c:pt>
                <c:pt idx="20">
                  <c:v>0</c:v>
                </c:pt>
                <c:pt idx="21">
                  <c:v>0</c:v>
                </c:pt>
              </c:numCache>
            </c:numRef>
          </c:val>
          <c:extLst>
            <c:ext xmlns:c16="http://schemas.microsoft.com/office/drawing/2014/chart" uri="{C3380CC4-5D6E-409C-BE32-E72D297353CC}">
              <c16:uniqueId val="{00000001-2AFD-A248-B824-DFD525E86F52}"/>
            </c:ext>
          </c:extLst>
        </c:ser>
        <c:ser>
          <c:idx val="2"/>
          <c:order val="1"/>
          <c:tx>
            <c:strRef>
              <c:f>Calculations!$F$445</c:f>
              <c:strCache>
                <c:ptCount val="1"/>
                <c:pt idx="0">
                  <c:v>BPD</c:v>
                </c:pt>
              </c:strCache>
            </c:strRef>
          </c:tx>
          <c:spPr>
            <a:solidFill>
              <a:srgbClr val="D87A00"/>
            </a:solidFill>
            <a:ln w="12700" cmpd="dbl">
              <a:solidFill>
                <a:schemeClr val="tx1"/>
              </a:solidFill>
              <a:prstDash val="solid"/>
            </a:ln>
          </c:spPr>
          <c:invertIfNegative val="0"/>
          <c:cat>
            <c:strRef>
              <c:f>Calculations!$C$451:$C$472</c:f>
              <c:strCache>
                <c:ptCount val="22"/>
                <c:pt idx="0">
                  <c:v>DISSOCIATION SCALES</c:v>
                </c:pt>
                <c:pt idx="1">
                  <c:v>Memory Problems</c:v>
                </c:pt>
                <c:pt idx="2">
                  <c:v>Depersonalization</c:v>
                </c:pt>
                <c:pt idx="3">
                  <c:v>Derealization</c:v>
                </c:pt>
                <c:pt idx="4">
                  <c:v>Flashbacks</c:v>
                </c:pt>
                <c:pt idx="5">
                  <c:v>Somatoform Symptoms</c:v>
                </c:pt>
                <c:pt idx="6">
                  <c:v>Trance</c:v>
                </c:pt>
                <c:pt idx="7">
                  <c:v>Identity Confusion</c:v>
                </c:pt>
                <c:pt idx="8">
                  <c:v>Voices</c:v>
                </c:pt>
                <c:pt idx="9">
                  <c:v>Ego-Alien Experiences</c:v>
                </c:pt>
                <c:pt idx="10">
                  <c:v>Experiences of Self-Alteration</c:v>
                </c:pt>
                <c:pt idx="11">
                  <c:v>Self-States and Alters</c:v>
                </c:pt>
                <c:pt idx="12">
                  <c:v>Discontinuities of Time (Time Gaps)</c:v>
                </c:pt>
                <c:pt idx="13">
                  <c:v>Disremembered / Discovered Behavior</c:v>
                </c:pt>
                <c:pt idx="15">
                  <c:v>VALIDITY &amp; CHARACTEROLOGICAL SCALES</c:v>
                </c:pt>
                <c:pt idx="16">
                  <c:v>Defensiveness / Minimization</c:v>
                </c:pt>
                <c:pt idx="17">
                  <c:v>Rare Symptoms</c:v>
                </c:pt>
                <c:pt idx="18">
                  <c:v>Emotional Suffering</c:v>
                </c:pt>
                <c:pt idx="19">
                  <c:v>Attention-Seeking Behavior</c:v>
                </c:pt>
                <c:pt idx="20">
                  <c:v>Factitious Behavior</c:v>
                </c:pt>
                <c:pt idx="21">
                  <c:v>Psychosis Screen</c:v>
                </c:pt>
              </c:strCache>
            </c:strRef>
          </c:cat>
          <c:val>
            <c:numRef>
              <c:f>Calculations!$F$451:$F$472</c:f>
              <c:numCache>
                <c:formatCode>General</c:formatCode>
                <c:ptCount val="22"/>
                <c:pt idx="1">
                  <c:v>42.9</c:v>
                </c:pt>
                <c:pt idx="2">
                  <c:v>26.7</c:v>
                </c:pt>
                <c:pt idx="3">
                  <c:v>30.3</c:v>
                </c:pt>
                <c:pt idx="4">
                  <c:v>46</c:v>
                </c:pt>
                <c:pt idx="5">
                  <c:v>16.3</c:v>
                </c:pt>
                <c:pt idx="6">
                  <c:v>31.4</c:v>
                </c:pt>
                <c:pt idx="7">
                  <c:v>46.6</c:v>
                </c:pt>
                <c:pt idx="8">
                  <c:v>27.2</c:v>
                </c:pt>
                <c:pt idx="9">
                  <c:v>37.5</c:v>
                </c:pt>
                <c:pt idx="10">
                  <c:v>24.6</c:v>
                </c:pt>
                <c:pt idx="11">
                  <c:v>22.6</c:v>
                </c:pt>
                <c:pt idx="12">
                  <c:v>26.4</c:v>
                </c:pt>
                <c:pt idx="13">
                  <c:v>22.8</c:v>
                </c:pt>
                <c:pt idx="16">
                  <c:v>41.8</c:v>
                </c:pt>
                <c:pt idx="17">
                  <c:v>10.6</c:v>
                </c:pt>
                <c:pt idx="18">
                  <c:v>62.1</c:v>
                </c:pt>
                <c:pt idx="19">
                  <c:v>38.299999999999997</c:v>
                </c:pt>
                <c:pt idx="20">
                  <c:v>21.2</c:v>
                </c:pt>
                <c:pt idx="21">
                  <c:v>11.1</c:v>
                </c:pt>
              </c:numCache>
            </c:numRef>
          </c:val>
          <c:extLst>
            <c:ext xmlns:c16="http://schemas.microsoft.com/office/drawing/2014/chart" uri="{C3380CC4-5D6E-409C-BE32-E72D297353CC}">
              <c16:uniqueId val="{00000003-2AFD-A248-B824-DFD525E86F52}"/>
            </c:ext>
          </c:extLst>
        </c:ser>
        <c:ser>
          <c:idx val="1"/>
          <c:order val="2"/>
          <c:tx>
            <c:strRef>
              <c:f>Calculations!$E$445</c:f>
              <c:strCache>
                <c:ptCount val="1"/>
                <c:pt idx="0">
                  <c:v>DID</c:v>
                </c:pt>
              </c:strCache>
            </c:strRef>
          </c:tx>
          <c:spPr>
            <a:solidFill>
              <a:srgbClr val="FFF58C"/>
            </a:solidFill>
            <a:ln w="12700" cmpd="dbl">
              <a:solidFill>
                <a:schemeClr val="tx1"/>
              </a:solidFill>
              <a:prstDash val="solid"/>
            </a:ln>
          </c:spPr>
          <c:invertIfNegative val="0"/>
          <c:cat>
            <c:strRef>
              <c:f>Calculations!$C$451:$C$472</c:f>
              <c:strCache>
                <c:ptCount val="22"/>
                <c:pt idx="0">
                  <c:v>DISSOCIATION SCALES</c:v>
                </c:pt>
                <c:pt idx="1">
                  <c:v>Memory Problems</c:v>
                </c:pt>
                <c:pt idx="2">
                  <c:v>Depersonalization</c:v>
                </c:pt>
                <c:pt idx="3">
                  <c:v>Derealization</c:v>
                </c:pt>
                <c:pt idx="4">
                  <c:v>Flashbacks</c:v>
                </c:pt>
                <c:pt idx="5">
                  <c:v>Somatoform Symptoms</c:v>
                </c:pt>
                <c:pt idx="6">
                  <c:v>Trance</c:v>
                </c:pt>
                <c:pt idx="7">
                  <c:v>Identity Confusion</c:v>
                </c:pt>
                <c:pt idx="8">
                  <c:v>Voices</c:v>
                </c:pt>
                <c:pt idx="9">
                  <c:v>Ego-Alien Experiences</c:v>
                </c:pt>
                <c:pt idx="10">
                  <c:v>Experiences of Self-Alteration</c:v>
                </c:pt>
                <c:pt idx="11">
                  <c:v>Self-States and Alters</c:v>
                </c:pt>
                <c:pt idx="12">
                  <c:v>Discontinuities of Time (Time Gaps)</c:v>
                </c:pt>
                <c:pt idx="13">
                  <c:v>Disremembered / Discovered Behavior</c:v>
                </c:pt>
                <c:pt idx="15">
                  <c:v>VALIDITY &amp; CHARACTEROLOGICAL SCALES</c:v>
                </c:pt>
                <c:pt idx="16">
                  <c:v>Defensiveness / Minimization</c:v>
                </c:pt>
                <c:pt idx="17">
                  <c:v>Rare Symptoms</c:v>
                </c:pt>
                <c:pt idx="18">
                  <c:v>Emotional Suffering</c:v>
                </c:pt>
                <c:pt idx="19">
                  <c:v>Attention-Seeking Behavior</c:v>
                </c:pt>
                <c:pt idx="20">
                  <c:v>Factitious Behavior</c:v>
                </c:pt>
                <c:pt idx="21">
                  <c:v>Psychosis Screen</c:v>
                </c:pt>
              </c:strCache>
            </c:strRef>
          </c:cat>
          <c:val>
            <c:numRef>
              <c:f>Calculations!$E$451:$E$472</c:f>
              <c:numCache>
                <c:formatCode>General</c:formatCode>
                <c:ptCount val="22"/>
                <c:pt idx="1">
                  <c:v>62.7</c:v>
                </c:pt>
                <c:pt idx="2">
                  <c:v>52.7</c:v>
                </c:pt>
                <c:pt idx="3">
                  <c:v>47.3</c:v>
                </c:pt>
                <c:pt idx="4">
                  <c:v>54.6</c:v>
                </c:pt>
                <c:pt idx="5">
                  <c:v>22.7</c:v>
                </c:pt>
                <c:pt idx="6">
                  <c:v>49.6</c:v>
                </c:pt>
                <c:pt idx="7">
                  <c:v>70.400000000000006</c:v>
                </c:pt>
                <c:pt idx="8">
                  <c:v>55.6</c:v>
                </c:pt>
                <c:pt idx="9">
                  <c:v>57.9</c:v>
                </c:pt>
                <c:pt idx="10">
                  <c:v>49.5</c:v>
                </c:pt>
                <c:pt idx="11">
                  <c:v>65.400000000000006</c:v>
                </c:pt>
                <c:pt idx="12">
                  <c:v>46.4</c:v>
                </c:pt>
                <c:pt idx="13">
                  <c:v>39</c:v>
                </c:pt>
                <c:pt idx="16">
                  <c:v>35.6</c:v>
                </c:pt>
                <c:pt idx="17">
                  <c:v>4</c:v>
                </c:pt>
                <c:pt idx="18">
                  <c:v>54.4</c:v>
                </c:pt>
                <c:pt idx="19">
                  <c:v>20.5</c:v>
                </c:pt>
                <c:pt idx="20">
                  <c:v>5.8</c:v>
                </c:pt>
                <c:pt idx="21">
                  <c:v>4.3</c:v>
                </c:pt>
              </c:numCache>
            </c:numRef>
          </c:val>
          <c:extLst>
            <c:ext xmlns:c16="http://schemas.microsoft.com/office/drawing/2014/chart" uri="{C3380CC4-5D6E-409C-BE32-E72D297353CC}">
              <c16:uniqueId val="{00000002-2AFD-A248-B824-DFD525E86F52}"/>
            </c:ext>
          </c:extLst>
        </c:ser>
        <c:dLbls>
          <c:showLegendKey val="0"/>
          <c:showVal val="0"/>
          <c:showCatName val="0"/>
          <c:showSerName val="0"/>
          <c:showPercent val="0"/>
          <c:showBubbleSize val="0"/>
        </c:dLbls>
        <c:gapWidth val="100"/>
        <c:axId val="818515600"/>
        <c:axId val="818520032"/>
      </c:barChart>
      <c:catAx>
        <c:axId val="818515600"/>
        <c:scaling>
          <c:orientation val="maxMin"/>
        </c:scaling>
        <c:delete val="0"/>
        <c:axPos val="l"/>
        <c:majorGridlines>
          <c:spPr>
            <a:ln>
              <a:solidFill>
                <a:srgbClr val="868686"/>
              </a:solidFill>
            </a:ln>
          </c:spPr>
        </c:majorGridlines>
        <c:numFmt formatCode="General" sourceLinked="1"/>
        <c:majorTickMark val="out"/>
        <c:minorTickMark val="none"/>
        <c:tickLblPos val="nextTo"/>
        <c:spPr>
          <a:ln w="3175">
            <a:solidFill>
              <a:schemeClr val="bg1">
                <a:lumMod val="65000"/>
              </a:schemeClr>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8520032"/>
        <c:crosses val="autoZero"/>
        <c:auto val="1"/>
        <c:lblAlgn val="ctr"/>
        <c:lblOffset val="100"/>
        <c:noMultiLvlLbl val="0"/>
      </c:catAx>
      <c:valAx>
        <c:axId val="818520032"/>
        <c:scaling>
          <c:orientation val="minMax"/>
          <c:max val="100"/>
        </c:scaling>
        <c:delete val="0"/>
        <c:axPos val="t"/>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8515600"/>
        <c:crosses val="autoZero"/>
        <c:crossBetween val="between"/>
      </c:valAx>
      <c:spPr>
        <a:solidFill>
          <a:schemeClr val="bg1">
            <a:lumMod val="75000"/>
          </a:schemeClr>
        </a:solidFill>
        <a:ln w="12700">
          <a:solidFill>
            <a:srgbClr val="808080"/>
          </a:solidFill>
          <a:prstDash val="solid"/>
        </a:ln>
      </c:spPr>
    </c:plotArea>
    <c:legend>
      <c:legendPos val="r"/>
      <c:layout>
        <c:manualLayout>
          <c:xMode val="edge"/>
          <c:yMode val="edge"/>
          <c:x val="2.632332907534218E-2"/>
          <c:y val="5.4837827215527699E-2"/>
          <c:w val="0.94231752621494247"/>
          <c:h val="4.1611300046579765E-2"/>
        </c:manualLayout>
      </c:layout>
      <c:overlay val="0"/>
      <c:spPr>
        <a:solidFill>
          <a:schemeClr val="bg1">
            <a:lumMod val="75000"/>
          </a:schemeClr>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n-US"/>
    </a:p>
  </c:txPr>
  <c:printSettings>
    <c:headerFooter>
      <c:oddHeader>&amp;C&amp;"Arial,Bold"&amp;16The MID Report: Line Graphs
&amp;"Arial,Italic"&amp;12Version 5.0 (Mac): October 19, 2019&amp;"Arial,Bold"&amp;16
</c:oddHeader>
    </c:headerFooter>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sz="1400" b="1" i="0" baseline="0">
                <a:effectLst/>
              </a:rPr>
              <a:t>MID BPD-DID Clinical Significance Score Comparison Graph</a:t>
            </a:r>
            <a:endParaRPr lang="en-US" sz="1400">
              <a:effectLst/>
            </a:endParaRPr>
          </a:p>
        </c:rich>
      </c:tx>
      <c:layout>
        <c:manualLayout>
          <c:xMode val="edge"/>
          <c:yMode val="edge"/>
          <c:x val="0.15070901110850601"/>
          <c:y val="1.1203408002718724E-2"/>
        </c:manualLayout>
      </c:layout>
      <c:overlay val="0"/>
      <c:spPr>
        <a:noFill/>
        <a:ln w="25400">
          <a:noFill/>
        </a:ln>
      </c:spPr>
    </c:title>
    <c:autoTitleDeleted val="0"/>
    <c:plotArea>
      <c:layout>
        <c:manualLayout>
          <c:layoutTarget val="inner"/>
          <c:xMode val="edge"/>
          <c:yMode val="edge"/>
          <c:x val="0.37442880677672608"/>
          <c:y val="0.14395601278519235"/>
          <c:w val="0.58939147267320047"/>
          <c:h val="0.8453609765796638"/>
        </c:manualLayout>
      </c:layout>
      <c:barChart>
        <c:barDir val="bar"/>
        <c:grouping val="clustered"/>
        <c:varyColors val="0"/>
        <c:ser>
          <c:idx val="0"/>
          <c:order val="0"/>
          <c:tx>
            <c:strRef>
              <c:f>Calculations!$D$475</c:f>
              <c:strCache>
                <c:ptCount val="1"/>
                <c:pt idx="0">
                  <c:v>Test-taker</c:v>
                </c:pt>
              </c:strCache>
            </c:strRef>
          </c:tx>
          <c:spPr>
            <a:solidFill>
              <a:srgbClr val="0432FF"/>
            </a:solidFill>
            <a:ln w="12700" cmpd="dbl">
              <a:solidFill>
                <a:schemeClr val="tx1"/>
              </a:solidFill>
              <a:prstDash val="solid"/>
            </a:ln>
          </c:spPr>
          <c:invertIfNegative val="0"/>
          <c:dPt>
            <c:idx val="7"/>
            <c:invertIfNegative val="0"/>
            <c:bubble3D val="0"/>
            <c:extLst>
              <c:ext xmlns:c16="http://schemas.microsoft.com/office/drawing/2014/chart" uri="{C3380CC4-5D6E-409C-BE32-E72D297353CC}">
                <c16:uniqueId val="{00000000-AF2D-AE42-9361-1B44F9153FD8}"/>
              </c:ext>
            </c:extLst>
          </c:dPt>
          <c:cat>
            <c:strRef>
              <c:f>Calculations!$C$478:$C$490</c:f>
              <c:strCache>
                <c:ptCount val="13"/>
                <c:pt idx="0">
                  <c:v>Memory Problems</c:v>
                </c:pt>
                <c:pt idx="1">
                  <c:v>Depersonalization</c:v>
                </c:pt>
                <c:pt idx="2">
                  <c:v>Derealization</c:v>
                </c:pt>
                <c:pt idx="3">
                  <c:v>Flashbacks</c:v>
                </c:pt>
                <c:pt idx="4">
                  <c:v>Somatoform Symptoms</c:v>
                </c:pt>
                <c:pt idx="5">
                  <c:v>Trance</c:v>
                </c:pt>
                <c:pt idx="6">
                  <c:v>Identity Confusion</c:v>
                </c:pt>
                <c:pt idx="7">
                  <c:v>Voices</c:v>
                </c:pt>
                <c:pt idx="8">
                  <c:v>Ego-Alien Experiences</c:v>
                </c:pt>
                <c:pt idx="9">
                  <c:v>Experiences of Self-Alteration</c:v>
                </c:pt>
                <c:pt idx="10">
                  <c:v>Self-States and Alters</c:v>
                </c:pt>
                <c:pt idx="11">
                  <c:v>Discontinuities of Time (Time Gaps)</c:v>
                </c:pt>
                <c:pt idx="12">
                  <c:v>Disremembered / Discovered Behavior</c:v>
                </c:pt>
              </c:strCache>
            </c:strRef>
          </c:cat>
          <c:val>
            <c:numRef>
              <c:f>Calculations!$D$478:$D$490</c:f>
              <c:numCache>
                <c:formatCode>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AF2D-AE42-9361-1B44F9153FD8}"/>
            </c:ext>
          </c:extLst>
        </c:ser>
        <c:ser>
          <c:idx val="2"/>
          <c:order val="1"/>
          <c:tx>
            <c:strRef>
              <c:f>Calculations!$F$475</c:f>
              <c:strCache>
                <c:ptCount val="1"/>
                <c:pt idx="0">
                  <c:v>BPD</c:v>
                </c:pt>
              </c:strCache>
            </c:strRef>
          </c:tx>
          <c:spPr>
            <a:solidFill>
              <a:srgbClr val="D87A00"/>
            </a:solidFill>
            <a:ln w="12700" cmpd="dbl">
              <a:solidFill>
                <a:schemeClr val="tx1"/>
              </a:solidFill>
              <a:prstDash val="solid"/>
            </a:ln>
          </c:spPr>
          <c:invertIfNegative val="0"/>
          <c:cat>
            <c:strRef>
              <c:f>Calculations!$C$478:$C$490</c:f>
              <c:strCache>
                <c:ptCount val="13"/>
                <c:pt idx="0">
                  <c:v>Memory Problems</c:v>
                </c:pt>
                <c:pt idx="1">
                  <c:v>Depersonalization</c:v>
                </c:pt>
                <c:pt idx="2">
                  <c:v>Derealization</c:v>
                </c:pt>
                <c:pt idx="3">
                  <c:v>Flashbacks</c:v>
                </c:pt>
                <c:pt idx="4">
                  <c:v>Somatoform Symptoms</c:v>
                </c:pt>
                <c:pt idx="5">
                  <c:v>Trance</c:v>
                </c:pt>
                <c:pt idx="6">
                  <c:v>Identity Confusion</c:v>
                </c:pt>
                <c:pt idx="7">
                  <c:v>Voices</c:v>
                </c:pt>
                <c:pt idx="8">
                  <c:v>Ego-Alien Experiences</c:v>
                </c:pt>
                <c:pt idx="9">
                  <c:v>Experiences of Self-Alteration</c:v>
                </c:pt>
                <c:pt idx="10">
                  <c:v>Self-States and Alters</c:v>
                </c:pt>
                <c:pt idx="11">
                  <c:v>Discontinuities of Time (Time Gaps)</c:v>
                </c:pt>
                <c:pt idx="12">
                  <c:v>Disremembered / Discovered Behavior</c:v>
                </c:pt>
              </c:strCache>
            </c:strRef>
          </c:cat>
          <c:val>
            <c:numRef>
              <c:f>Calculations!$F$478:$F$490</c:f>
              <c:numCache>
                <c:formatCode>General</c:formatCode>
                <c:ptCount val="13"/>
                <c:pt idx="0">
                  <c:v>148</c:v>
                </c:pt>
                <c:pt idx="1">
                  <c:v>117.5</c:v>
                </c:pt>
                <c:pt idx="2">
                  <c:v>157.30000000000001</c:v>
                </c:pt>
                <c:pt idx="3">
                  <c:v>171</c:v>
                </c:pt>
                <c:pt idx="4">
                  <c:v>100.8</c:v>
                </c:pt>
                <c:pt idx="5">
                  <c:v>128</c:v>
                </c:pt>
                <c:pt idx="6">
                  <c:v>127.7</c:v>
                </c:pt>
                <c:pt idx="7">
                  <c:v>80.3</c:v>
                </c:pt>
                <c:pt idx="8">
                  <c:v>114.8</c:v>
                </c:pt>
                <c:pt idx="9">
                  <c:v>122.8</c:v>
                </c:pt>
                <c:pt idx="10">
                  <c:v>137.69999999999999</c:v>
                </c:pt>
                <c:pt idx="11">
                  <c:v>136</c:v>
                </c:pt>
                <c:pt idx="12">
                  <c:v>155.30000000000001</c:v>
                </c:pt>
              </c:numCache>
            </c:numRef>
          </c:val>
          <c:extLst>
            <c:ext xmlns:c16="http://schemas.microsoft.com/office/drawing/2014/chart" uri="{C3380CC4-5D6E-409C-BE32-E72D297353CC}">
              <c16:uniqueId val="{00000003-AF2D-AE42-9361-1B44F9153FD8}"/>
            </c:ext>
          </c:extLst>
        </c:ser>
        <c:ser>
          <c:idx val="1"/>
          <c:order val="2"/>
          <c:tx>
            <c:strRef>
              <c:f>Calculations!$E$475</c:f>
              <c:strCache>
                <c:ptCount val="1"/>
                <c:pt idx="0">
                  <c:v>DID</c:v>
                </c:pt>
              </c:strCache>
            </c:strRef>
          </c:tx>
          <c:spPr>
            <a:solidFill>
              <a:srgbClr val="FFF58C"/>
            </a:solidFill>
            <a:ln w="12700" cmpd="dbl">
              <a:solidFill>
                <a:schemeClr val="tx1"/>
              </a:solidFill>
              <a:prstDash val="solid"/>
            </a:ln>
          </c:spPr>
          <c:invertIfNegative val="0"/>
          <c:cat>
            <c:strRef>
              <c:f>Calculations!$C$478:$C$490</c:f>
              <c:strCache>
                <c:ptCount val="13"/>
                <c:pt idx="0">
                  <c:v>Memory Problems</c:v>
                </c:pt>
                <c:pt idx="1">
                  <c:v>Depersonalization</c:v>
                </c:pt>
                <c:pt idx="2">
                  <c:v>Derealization</c:v>
                </c:pt>
                <c:pt idx="3">
                  <c:v>Flashbacks</c:v>
                </c:pt>
                <c:pt idx="4">
                  <c:v>Somatoform Symptoms</c:v>
                </c:pt>
                <c:pt idx="5">
                  <c:v>Trance</c:v>
                </c:pt>
                <c:pt idx="6">
                  <c:v>Identity Confusion</c:v>
                </c:pt>
                <c:pt idx="7">
                  <c:v>Voices</c:v>
                </c:pt>
                <c:pt idx="8">
                  <c:v>Ego-Alien Experiences</c:v>
                </c:pt>
                <c:pt idx="9">
                  <c:v>Experiences of Self-Alteration</c:v>
                </c:pt>
                <c:pt idx="10">
                  <c:v>Self-States and Alters</c:v>
                </c:pt>
                <c:pt idx="11">
                  <c:v>Discontinuities of Time (Time Gaps)</c:v>
                </c:pt>
                <c:pt idx="12">
                  <c:v>Disremembered / Discovered Behavior</c:v>
                </c:pt>
              </c:strCache>
            </c:strRef>
          </c:cat>
          <c:val>
            <c:numRef>
              <c:f>Calculations!$E$478:$E$490</c:f>
              <c:numCache>
                <c:formatCode>General</c:formatCode>
                <c:ptCount val="13"/>
                <c:pt idx="0">
                  <c:v>196.2</c:v>
                </c:pt>
                <c:pt idx="1">
                  <c:v>228.7</c:v>
                </c:pt>
                <c:pt idx="2">
                  <c:v>230.7</c:v>
                </c:pt>
                <c:pt idx="3">
                  <c:v>201.9</c:v>
                </c:pt>
                <c:pt idx="4">
                  <c:v>145.30000000000001</c:v>
                </c:pt>
                <c:pt idx="5">
                  <c:v>186.2</c:v>
                </c:pt>
                <c:pt idx="6">
                  <c:v>177.3</c:v>
                </c:pt>
                <c:pt idx="7">
                  <c:v>157.4</c:v>
                </c:pt>
                <c:pt idx="8">
                  <c:v>165.8</c:v>
                </c:pt>
                <c:pt idx="9">
                  <c:v>233.4</c:v>
                </c:pt>
                <c:pt idx="10">
                  <c:v>326.60000000000002</c:v>
                </c:pt>
                <c:pt idx="11">
                  <c:v>227.7</c:v>
                </c:pt>
                <c:pt idx="12">
                  <c:v>258.10000000000002</c:v>
                </c:pt>
              </c:numCache>
            </c:numRef>
          </c:val>
          <c:extLst>
            <c:ext xmlns:c16="http://schemas.microsoft.com/office/drawing/2014/chart" uri="{C3380CC4-5D6E-409C-BE32-E72D297353CC}">
              <c16:uniqueId val="{00000002-AF2D-AE42-9361-1B44F9153FD8}"/>
            </c:ext>
          </c:extLst>
        </c:ser>
        <c:dLbls>
          <c:showLegendKey val="0"/>
          <c:showVal val="0"/>
          <c:showCatName val="0"/>
          <c:showSerName val="0"/>
          <c:showPercent val="0"/>
          <c:showBubbleSize val="0"/>
        </c:dLbls>
        <c:gapWidth val="100"/>
        <c:axId val="818515600"/>
        <c:axId val="818520032"/>
      </c:barChart>
      <c:catAx>
        <c:axId val="818515600"/>
        <c:scaling>
          <c:orientation val="maxMin"/>
        </c:scaling>
        <c:delete val="0"/>
        <c:axPos val="l"/>
        <c:majorGridlines>
          <c:spPr>
            <a:ln>
              <a:solidFill>
                <a:srgbClr val="868686"/>
              </a:solidFill>
            </a:ln>
          </c:spPr>
        </c:majorGridlines>
        <c:numFmt formatCode="General" sourceLinked="1"/>
        <c:majorTickMark val="out"/>
        <c:minorTickMark val="none"/>
        <c:tickLblPos val="nextTo"/>
        <c:spPr>
          <a:ln w="3175">
            <a:solidFill>
              <a:schemeClr val="bg1">
                <a:lumMod val="65000"/>
              </a:schemeClr>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8520032"/>
        <c:crosses val="autoZero"/>
        <c:auto val="1"/>
        <c:lblAlgn val="ctr"/>
        <c:lblOffset val="100"/>
        <c:noMultiLvlLbl val="0"/>
      </c:catAx>
      <c:valAx>
        <c:axId val="818520032"/>
        <c:scaling>
          <c:orientation val="minMax"/>
          <c:max val="400"/>
        </c:scaling>
        <c:delete val="0"/>
        <c:axPos val="t"/>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8515600"/>
        <c:crosses val="autoZero"/>
        <c:crossBetween val="between"/>
        <c:majorUnit val="50"/>
        <c:minorUnit val="50"/>
      </c:valAx>
      <c:spPr>
        <a:solidFill>
          <a:schemeClr val="bg1">
            <a:lumMod val="75000"/>
          </a:schemeClr>
        </a:solidFill>
        <a:ln w="12700">
          <a:solidFill>
            <a:srgbClr val="808080"/>
          </a:solidFill>
          <a:prstDash val="solid"/>
        </a:ln>
      </c:spPr>
    </c:plotArea>
    <c:legend>
      <c:legendPos val="r"/>
      <c:layout>
        <c:manualLayout>
          <c:xMode val="edge"/>
          <c:yMode val="edge"/>
          <c:x val="2.6323329075342204E-2"/>
          <c:y val="5.4837827215527699E-2"/>
          <c:w val="0.94071320004204095"/>
          <c:h val="3.0317067625197786E-2"/>
        </c:manualLayout>
      </c:layout>
      <c:overlay val="0"/>
      <c:spPr>
        <a:solidFill>
          <a:schemeClr val="bg1">
            <a:lumMod val="75000"/>
          </a:schemeClr>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n-US"/>
    </a:p>
  </c:txPr>
  <c:printSettings>
    <c:headerFooter>
      <c:oddHeader>&amp;C&amp;"Arial,Bold"&amp;16The MID Report: Bar Graphs
&amp;"Arial,Italic"&amp;14Version 5.0 (Mac): April 25, 2020</c:oddHeader>
    </c:headerFooter>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sz="1050" b="1">
                <a:solidFill>
                  <a:schemeClr val="tx1"/>
                </a:solidFill>
                <a:latin typeface="Arial" panose="020B0604020202020204" pitchFamily="34" charset="0"/>
                <a:cs typeface="Arial" panose="020B0604020202020204" pitchFamily="34" charset="0"/>
              </a:rPr>
              <a:t>BPD-DID Mean MID Score Comparison </a:t>
            </a:r>
          </a:p>
        </c:rich>
      </c:tx>
      <c:layout>
        <c:manualLayout>
          <c:xMode val="edge"/>
          <c:yMode val="edge"/>
          <c:x val="0.15043850248538571"/>
          <c:y val="2.2753338504411424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n-US"/>
        </a:p>
      </c:txPr>
    </c:title>
    <c:autoTitleDeleted val="0"/>
    <c:plotArea>
      <c:layout>
        <c:manualLayout>
          <c:layoutTarget val="inner"/>
          <c:xMode val="edge"/>
          <c:yMode val="edge"/>
          <c:x val="0.11929927669791862"/>
          <c:y val="0.1953921578132625"/>
          <c:w val="0.84358310189066055"/>
          <c:h val="0.68563345710970858"/>
        </c:manualLayout>
      </c:layout>
      <c:barChart>
        <c:barDir val="col"/>
        <c:grouping val="clustered"/>
        <c:varyColors val="0"/>
        <c:ser>
          <c:idx val="2"/>
          <c:order val="0"/>
          <c:tx>
            <c:strRef>
              <c:f>Calculations!$F$445</c:f>
              <c:strCache>
                <c:ptCount val="1"/>
                <c:pt idx="0">
                  <c:v>BPD</c:v>
                </c:pt>
              </c:strCache>
            </c:strRef>
          </c:tx>
          <c:spPr>
            <a:gradFill flip="none" rotWithShape="1">
              <a:gsLst>
                <a:gs pos="0">
                  <a:schemeClr val="accent6">
                    <a:lumMod val="67000"/>
                  </a:schemeClr>
                </a:gs>
                <a:gs pos="36000">
                  <a:schemeClr val="accent6">
                    <a:lumMod val="97000"/>
                    <a:lumOff val="3000"/>
                  </a:schemeClr>
                </a:gs>
                <a:gs pos="100000">
                  <a:schemeClr val="bg1"/>
                </a:gs>
              </a:gsLst>
              <a:lin ang="16200000" scaled="1"/>
              <a:tileRect/>
            </a:gradFill>
            <a:ln w="9525" cap="flat" cmpd="sng" algn="ctr">
              <a:solidFill>
                <a:schemeClr val="accent6">
                  <a:lumMod val="50000"/>
                </a:schemeClr>
              </a:solidFill>
              <a:round/>
            </a:ln>
            <a:effectLst>
              <a:outerShdw blurRad="40000" dist="20000" dir="5400000" rotWithShape="0">
                <a:srgbClr val="000000">
                  <a:alpha val="38000"/>
                </a:srgbClr>
              </a:outerShdw>
            </a:effectLst>
          </c:spPr>
          <c:invertIfNegative val="0"/>
          <c:dLbls>
            <c:dLbl>
              <c:idx val="0"/>
              <c:tx>
                <c:rich>
                  <a:bodyPr/>
                  <a:lstStyle/>
                  <a:p>
                    <a:fld id="{3FB936F2-0BFC-EC4D-A075-157B5D5B62E5}" type="SERIESNAME">
                      <a:rPr lang="en-US" sz="1000">
                        <a:latin typeface="Arial" panose="020B0604020202020204" pitchFamily="34" charset="0"/>
                        <a:cs typeface="Arial" panose="020B0604020202020204" pitchFamily="34" charset="0"/>
                      </a:rPr>
                      <a:pPr/>
                      <a:t>[SERIES NAME]</a:t>
                    </a:fld>
                    <a:endParaRPr lang="en-US" sz="1000" baseline="0">
                      <a:latin typeface="Arial" panose="020B0604020202020204" pitchFamily="34" charset="0"/>
                      <a:cs typeface="Arial" panose="020B0604020202020204" pitchFamily="34" charset="0"/>
                    </a:endParaRPr>
                  </a:p>
                  <a:p>
                    <a:fld id="{539EEA41-E106-FA46-B716-0DA5AD41FF32}" type="VALUE">
                      <a:rPr lang="en-US" sz="1000">
                        <a:latin typeface="Arial" panose="020B0604020202020204" pitchFamily="34" charset="0"/>
                        <a:cs typeface="Arial" panose="020B0604020202020204" pitchFamily="34" charset="0"/>
                      </a:rPr>
                      <a:pPr/>
                      <a:t>[VALUE]</a:t>
                    </a:fld>
                    <a:endParaRPr lang="en-US"/>
                  </a:p>
                </c:rich>
              </c:tx>
              <c:dLblPos val="outEnd"/>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9F34-F541-BC35-1FDC3AA24C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Calculations!$H$447:$H$449</c:f>
              <c:numCache>
                <c:formatCode>General</c:formatCode>
                <c:ptCount val="3"/>
              </c:numCache>
            </c:numRef>
          </c:cat>
          <c:val>
            <c:numRef>
              <c:f>Calculations!$F$448</c:f>
              <c:numCache>
                <c:formatCode>General</c:formatCode>
                <c:ptCount val="1"/>
                <c:pt idx="0">
                  <c:v>30.8</c:v>
                </c:pt>
              </c:numCache>
            </c:numRef>
          </c:val>
          <c:extLst>
            <c:ext xmlns:c16="http://schemas.microsoft.com/office/drawing/2014/chart" uri="{C3380CC4-5D6E-409C-BE32-E72D297353CC}">
              <c16:uniqueId val="{00000006-9F34-F541-BC35-1FDC3AA24C5D}"/>
            </c:ext>
          </c:extLst>
        </c:ser>
        <c:ser>
          <c:idx val="1"/>
          <c:order val="1"/>
          <c:tx>
            <c:strRef>
              <c:f>Calculations!$E$445</c:f>
              <c:strCache>
                <c:ptCount val="1"/>
                <c:pt idx="0">
                  <c:v>DID</c:v>
                </c:pt>
              </c:strCache>
            </c:strRef>
          </c:tx>
          <c:spPr>
            <a:gradFill flip="none" rotWithShape="1">
              <a:gsLst>
                <a:gs pos="0">
                  <a:srgbClr val="FFF58C"/>
                </a:gs>
                <a:gs pos="36000">
                  <a:srgbClr val="FFF58C"/>
                </a:gs>
                <a:gs pos="100000">
                  <a:schemeClr val="bg1"/>
                </a:gs>
              </a:gsLst>
              <a:lin ang="16200000" scaled="1"/>
              <a:tileRect/>
            </a:gradFill>
            <a:ln w="9525" cap="flat" cmpd="sng" algn="ctr">
              <a:solidFill>
                <a:schemeClr val="tx1"/>
              </a:solidFill>
              <a:round/>
            </a:ln>
            <a:effectLst>
              <a:outerShdw blurRad="40000" dist="20000" dir="5400000" rotWithShape="0">
                <a:srgbClr val="000000">
                  <a:alpha val="38000"/>
                </a:srgbClr>
              </a:outerShdw>
            </a:effectLst>
          </c:spPr>
          <c:invertIfNegative val="0"/>
          <c:dLbls>
            <c:dLbl>
              <c:idx val="0"/>
              <c:tx>
                <c:rich>
                  <a:bodyPr/>
                  <a:lstStyle/>
                  <a:p>
                    <a:fld id="{C9B47F77-E043-274D-92E1-73A20B648CF8}" type="SERIESNAME">
                      <a:rPr lang="en-US" sz="1000">
                        <a:latin typeface="Arial" panose="020B0604020202020204" pitchFamily="34" charset="0"/>
                        <a:cs typeface="Arial" panose="020B0604020202020204" pitchFamily="34" charset="0"/>
                      </a:rPr>
                      <a:pPr/>
                      <a:t>[SERIES NAME]</a:t>
                    </a:fld>
                    <a:endParaRPr lang="en-US" sz="1000" baseline="0">
                      <a:latin typeface="Arial" panose="020B0604020202020204" pitchFamily="34" charset="0"/>
                      <a:cs typeface="Arial" panose="020B0604020202020204" pitchFamily="34" charset="0"/>
                    </a:endParaRPr>
                  </a:p>
                  <a:p>
                    <a:fld id="{D7DD5708-FE0C-3046-BFD9-A2948CA38C83}" type="VALUE">
                      <a:rPr lang="en-US" sz="1000">
                        <a:latin typeface="Arial" panose="020B0604020202020204" pitchFamily="34" charset="0"/>
                        <a:cs typeface="Arial" panose="020B0604020202020204" pitchFamily="34" charset="0"/>
                      </a:rPr>
                      <a:pPr/>
                      <a:t>[VALUE]</a:t>
                    </a:fld>
                    <a:endParaRPr lang="en-US"/>
                  </a:p>
                </c:rich>
              </c:tx>
              <c:dLblPos val="outEnd"/>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F34-F541-BC35-1FDC3AA24C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Calculations!$H$447:$H$449</c:f>
              <c:numCache>
                <c:formatCode>General</c:formatCode>
                <c:ptCount val="3"/>
              </c:numCache>
            </c:numRef>
          </c:cat>
          <c:val>
            <c:numRef>
              <c:f>Calculations!$E$448</c:f>
              <c:numCache>
                <c:formatCode>General</c:formatCode>
                <c:ptCount val="1"/>
                <c:pt idx="0">
                  <c:v>51.4</c:v>
                </c:pt>
              </c:numCache>
            </c:numRef>
          </c:val>
          <c:extLst>
            <c:ext xmlns:c16="http://schemas.microsoft.com/office/drawing/2014/chart" uri="{C3380CC4-5D6E-409C-BE32-E72D297353CC}">
              <c16:uniqueId val="{00000004-9F34-F541-BC35-1FDC3AA24C5D}"/>
            </c:ext>
          </c:extLst>
        </c:ser>
        <c:ser>
          <c:idx val="0"/>
          <c:order val="2"/>
          <c:tx>
            <c:strRef>
              <c:f>Calculations!$D$445</c:f>
              <c:strCache>
                <c:ptCount val="1"/>
                <c:pt idx="0">
                  <c:v>Test-taker</c:v>
                </c:pt>
              </c:strCache>
            </c:strRef>
          </c:tx>
          <c:spPr>
            <a:gradFill flip="none" rotWithShape="1">
              <a:gsLst>
                <a:gs pos="100000">
                  <a:schemeClr val="bg1">
                    <a:lumMod val="75000"/>
                    <a:lumOff val="25000"/>
                  </a:schemeClr>
                </a:gs>
                <a:gs pos="47000">
                  <a:srgbClr val="0432FF">
                    <a:lumMod val="74275"/>
                    <a:lumOff val="25725"/>
                    <a:alpha val="67019"/>
                  </a:srgbClr>
                </a:gs>
                <a:gs pos="7000">
                  <a:srgbClr val="0432FF">
                    <a:lumMod val="84000"/>
                  </a:srgbClr>
                </a:gs>
              </a:gsLst>
              <a:lin ang="16200000" scaled="1"/>
              <a:tileRect/>
            </a:gradFill>
            <a:ln w="9525" cap="flat" cmpd="sng" algn="ctr">
              <a:solidFill>
                <a:schemeClr val="tx1"/>
              </a:solidFill>
              <a:round/>
            </a:ln>
            <a:effectLst>
              <a:outerShdw blurRad="40000" dist="20000" dir="5400000" rotWithShape="0">
                <a:srgbClr val="000000">
                  <a:alpha val="38000"/>
                </a:srgbClr>
              </a:outerShdw>
            </a:effectLst>
          </c:spPr>
          <c:invertIfNegative val="0"/>
          <c:dPt>
            <c:idx val="0"/>
            <c:invertIfNegative val="0"/>
            <c:bubble3D val="0"/>
            <c:spPr>
              <a:gradFill flip="none" rotWithShape="1">
                <a:gsLst>
                  <a:gs pos="100000">
                    <a:schemeClr val="bg1">
                      <a:lumMod val="75000"/>
                      <a:lumOff val="25000"/>
                    </a:schemeClr>
                  </a:gs>
                  <a:gs pos="47000">
                    <a:srgbClr val="0432FF">
                      <a:lumMod val="74275"/>
                      <a:lumOff val="25725"/>
                      <a:alpha val="67019"/>
                    </a:srgbClr>
                  </a:gs>
                  <a:gs pos="7000">
                    <a:srgbClr val="0432FF">
                      <a:lumMod val="84000"/>
                    </a:srgbClr>
                  </a:gs>
                </a:gsLst>
                <a:lin ang="16200000" scaled="1"/>
                <a:tileRect/>
              </a:gradFill>
              <a:ln w="9525" cap="flat" cmpd="sng" algn="ctr">
                <a:solidFill>
                  <a:schemeClr val="tx1"/>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9F34-F541-BC35-1FDC3AA24C5D}"/>
              </c:ext>
            </c:extLst>
          </c:dPt>
          <c:dLbls>
            <c:dLbl>
              <c:idx val="0"/>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9F51794F-DE0E-F54E-8F91-34A8DE444852}" type="SERIESNAME">
                      <a:rPr lang="en-US" sz="900">
                        <a:latin typeface="Arial" panose="020B0604020202020204" pitchFamily="34" charset="0"/>
                        <a:cs typeface="Arial" panose="020B0604020202020204" pitchFamily="34" charset="0"/>
                      </a:rPr>
                      <a:pPr>
                        <a:defRPr>
                          <a:solidFill>
                            <a:schemeClr val="tx1"/>
                          </a:solidFill>
                        </a:defRPr>
                      </a:pPr>
                      <a:t>[SERIES NAME]</a:t>
                    </a:fld>
                    <a:endParaRPr lang="en-US" sz="900" baseline="0">
                      <a:latin typeface="Arial" panose="020B0604020202020204" pitchFamily="34" charset="0"/>
                      <a:cs typeface="Arial" panose="020B0604020202020204" pitchFamily="34" charset="0"/>
                    </a:endParaRPr>
                  </a:p>
                  <a:p>
                    <a:pPr>
                      <a:defRPr>
                        <a:solidFill>
                          <a:schemeClr val="tx1"/>
                        </a:solidFill>
                      </a:defRPr>
                    </a:pPr>
                    <a:fld id="{1E0BB3FD-FDBA-E147-A96A-9E6725C83523}" type="VALUE">
                      <a:rPr lang="en-US" sz="1000">
                        <a:latin typeface="Arial" panose="020B0604020202020204" pitchFamily="34" charset="0"/>
                        <a:cs typeface="Arial" panose="020B0604020202020204" pitchFamily="34" charset="0"/>
                      </a:rPr>
                      <a:pPr>
                        <a:defRPr>
                          <a:solidFill>
                            <a:schemeClr val="tx1"/>
                          </a:solidFill>
                        </a:defRPr>
                      </a:pPr>
                      <a:t>[VALUE]</a:t>
                    </a:fld>
                    <a:endParaRPr 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extLst>
                <c:ext xmlns:c15="http://schemas.microsoft.com/office/drawing/2012/chart" uri="{CE6537A1-D6FC-4f65-9D91-7224C49458BB}">
                  <c15:layout>
                    <c:manualLayout>
                      <c:w val="0.17677952073151504"/>
                      <c:h val="0.12657619060979972"/>
                    </c:manualLayout>
                  </c15:layout>
                  <c15:dlblFieldTable/>
                  <c15:showDataLabelsRange val="0"/>
                </c:ext>
                <c:ext xmlns:c16="http://schemas.microsoft.com/office/drawing/2014/chart" uri="{C3380CC4-5D6E-409C-BE32-E72D297353CC}">
                  <c16:uniqueId val="{00000001-9F34-F541-BC35-1FDC3AA24C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Calculations!$H$447:$H$449</c:f>
              <c:numCache>
                <c:formatCode>General</c:formatCode>
                <c:ptCount val="3"/>
              </c:numCache>
            </c:numRef>
          </c:cat>
          <c:val>
            <c:numRef>
              <c:f>Calculations!$D$448</c:f>
              <c:numCache>
                <c:formatCode>0.00</c:formatCode>
                <c:ptCount val="1"/>
                <c:pt idx="0">
                  <c:v>0</c:v>
                </c:pt>
              </c:numCache>
            </c:numRef>
          </c:val>
          <c:extLst>
            <c:ext xmlns:c16="http://schemas.microsoft.com/office/drawing/2014/chart" uri="{C3380CC4-5D6E-409C-BE32-E72D297353CC}">
              <c16:uniqueId val="{00000002-9F34-F541-BC35-1FDC3AA24C5D}"/>
            </c:ext>
          </c:extLst>
        </c:ser>
        <c:dLbls>
          <c:showLegendKey val="0"/>
          <c:showVal val="0"/>
          <c:showCatName val="0"/>
          <c:showSerName val="0"/>
          <c:showPercent val="0"/>
          <c:showBubbleSize val="0"/>
        </c:dLbls>
        <c:gapWidth val="100"/>
        <c:overlap val="-24"/>
        <c:axId val="1683316575"/>
        <c:axId val="1683090911"/>
      </c:barChart>
      <c:catAx>
        <c:axId val="1683316575"/>
        <c:scaling>
          <c:orientation val="minMax"/>
        </c:scaling>
        <c:delete val="1"/>
        <c:axPos val="b"/>
        <c:numFmt formatCode="General" sourceLinked="1"/>
        <c:majorTickMark val="none"/>
        <c:minorTickMark val="none"/>
        <c:tickLblPos val="nextTo"/>
        <c:crossAx val="1683090911"/>
        <c:crosses val="autoZero"/>
        <c:auto val="0"/>
        <c:lblAlgn val="ctr"/>
        <c:lblOffset val="100"/>
        <c:noMultiLvlLbl val="0"/>
      </c:catAx>
      <c:valAx>
        <c:axId val="1683090911"/>
        <c:scaling>
          <c:orientation val="minMax"/>
          <c:max val="100"/>
        </c:scaling>
        <c:delete val="0"/>
        <c:axPos val="l"/>
        <c:majorGridlines>
          <c:spPr>
            <a:ln w="9525" cap="flat" cmpd="sng" algn="ctr">
              <a:solidFill>
                <a:schemeClr val="bg1">
                  <a:lumMod val="7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683316575"/>
        <c:crosses val="autoZero"/>
        <c:crossBetween val="between"/>
      </c:valAx>
      <c:spPr>
        <a:noFill/>
        <a:ln>
          <a:solidFill>
            <a:schemeClr val="tx1"/>
          </a:solid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175" cap="flat" cmpd="sng" algn="ctr">
      <a:solidFill>
        <a:schemeClr val="tx1"/>
      </a:solidFill>
      <a:round/>
    </a:ln>
    <a:effectLst/>
  </c:spPr>
  <c:txPr>
    <a:bodyPr/>
    <a:lstStyle/>
    <a:p>
      <a:pPr>
        <a:defRPr/>
      </a:pPr>
      <a:endParaRPr lang="en-US"/>
    </a:p>
  </c:txPr>
  <c:printSettings>
    <c:headerFooter>
      <c:oddHeader>&amp;C&amp;"Arial,Bold"&amp;16The MID Report: Line Graphs
&amp;"Arial,Italic"&amp;12Version 5.0 (Mac): April 20, 2020&amp;"Arial,Bold"
</c:oddHeader>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400" b="0" i="0" u="none" strike="noStrike" kern="1200" cap="none" spc="20" baseline="0">
                <a:solidFill>
                  <a:schemeClr val="tx1"/>
                </a:solidFill>
                <a:latin typeface="+mn-lt"/>
                <a:ea typeface="+mn-ea"/>
                <a:cs typeface="+mn-cs"/>
              </a:defRPr>
            </a:pPr>
            <a:r>
              <a:rPr lang="en-US" sz="1000" b="1">
                <a:solidFill>
                  <a:schemeClr val="tx1"/>
                </a:solidFill>
                <a:latin typeface="Arial" panose="020B0604020202020204" pitchFamily="34" charset="0"/>
                <a:cs typeface="Arial" panose="020B0604020202020204" pitchFamily="34" charset="0"/>
              </a:rPr>
              <a:t>BPD-DID D</a:t>
            </a:r>
            <a:r>
              <a:rPr lang="en-US" sz="1050" b="1">
                <a:solidFill>
                  <a:schemeClr val="tx1"/>
                </a:solidFill>
                <a:latin typeface="Arial" panose="020B0604020202020204" pitchFamily="34" charset="0"/>
                <a:cs typeface="Arial" panose="020B0604020202020204" pitchFamily="34" charset="0"/>
              </a:rPr>
              <a:t>issociation</a:t>
            </a:r>
            <a:r>
              <a:rPr lang="en-US" sz="1000" b="1">
                <a:solidFill>
                  <a:schemeClr val="tx1"/>
                </a:solidFill>
                <a:latin typeface="Arial" panose="020B0604020202020204" pitchFamily="34" charset="0"/>
                <a:cs typeface="Arial" panose="020B0604020202020204" pitchFamily="34" charset="0"/>
              </a:rPr>
              <a:t> Items 'Passed'</a:t>
            </a:r>
          </a:p>
        </c:rich>
      </c:tx>
      <c:layout>
        <c:manualLayout>
          <c:xMode val="edge"/>
          <c:yMode val="edge"/>
          <c:x val="0.1876900606726116"/>
          <c:y val="2.2682304596964676E-2"/>
        </c:manualLayout>
      </c:layout>
      <c:overlay val="0"/>
      <c:spPr>
        <a:noFill/>
        <a:ln>
          <a:noFill/>
        </a:ln>
        <a:effectLst/>
      </c:spPr>
      <c:txPr>
        <a:bodyPr rot="0" spcFirstLastPara="1" vertOverflow="ellipsis" vert="horz" wrap="square" anchor="t" anchorCtr="1"/>
        <a:lstStyle/>
        <a:p>
          <a:pPr>
            <a:defRPr sz="1400" b="0" i="0" u="none" strike="noStrike" kern="1200" cap="none" spc="20" baseline="0">
              <a:solidFill>
                <a:schemeClr val="tx1"/>
              </a:solidFill>
              <a:latin typeface="+mn-lt"/>
              <a:ea typeface="+mn-ea"/>
              <a:cs typeface="+mn-cs"/>
            </a:defRPr>
          </a:pPr>
          <a:endParaRPr lang="en-US"/>
        </a:p>
      </c:txPr>
    </c:title>
    <c:autoTitleDeleted val="0"/>
    <c:plotArea>
      <c:layout>
        <c:manualLayout>
          <c:layoutTarget val="inner"/>
          <c:xMode val="edge"/>
          <c:yMode val="edge"/>
          <c:x val="0.11929927669791862"/>
          <c:y val="0.1953921578132625"/>
          <c:w val="0.84358310189066055"/>
          <c:h val="0.68563345710970858"/>
        </c:manualLayout>
      </c:layout>
      <c:barChart>
        <c:barDir val="col"/>
        <c:grouping val="clustered"/>
        <c:varyColors val="0"/>
        <c:ser>
          <c:idx val="2"/>
          <c:order val="0"/>
          <c:tx>
            <c:strRef>
              <c:f>Calculations!$F$445</c:f>
              <c:strCache>
                <c:ptCount val="1"/>
                <c:pt idx="0">
                  <c:v>BPD</c:v>
                </c:pt>
              </c:strCache>
            </c:strRef>
          </c:tx>
          <c:spPr>
            <a:gradFill flip="none" rotWithShape="1">
              <a:gsLst>
                <a:gs pos="0">
                  <a:schemeClr val="accent6">
                    <a:lumMod val="67000"/>
                  </a:schemeClr>
                </a:gs>
                <a:gs pos="36000">
                  <a:schemeClr val="accent6">
                    <a:lumMod val="97000"/>
                    <a:lumOff val="3000"/>
                  </a:schemeClr>
                </a:gs>
                <a:gs pos="100000">
                  <a:schemeClr val="bg1"/>
                </a:gs>
              </a:gsLst>
              <a:lin ang="16200000" scaled="1"/>
              <a:tileRect/>
            </a:gradFill>
            <a:ln w="9525" cap="flat" cmpd="sng" algn="ctr">
              <a:solidFill>
                <a:schemeClr val="accent6">
                  <a:lumMod val="50000"/>
                </a:schemeClr>
              </a:solidFill>
              <a:round/>
            </a:ln>
            <a:effectLst>
              <a:outerShdw blurRad="40000" dist="20000" dir="5400000" rotWithShape="0">
                <a:srgbClr val="000000">
                  <a:alpha val="38000"/>
                </a:srgbClr>
              </a:outerShdw>
            </a:effectLst>
          </c:spPr>
          <c:invertIfNegative val="0"/>
          <c:dLbls>
            <c:dLbl>
              <c:idx val="0"/>
              <c:tx>
                <c:rich>
                  <a:bodyPr/>
                  <a:lstStyle/>
                  <a:p>
                    <a:fld id="{3FB936F2-0BFC-EC4D-A075-157B5D5B62E5}" type="SERIESNAME">
                      <a:rPr lang="en-US" sz="1000">
                        <a:latin typeface="Arial" panose="020B0604020202020204" pitchFamily="34" charset="0"/>
                        <a:cs typeface="Arial" panose="020B0604020202020204" pitchFamily="34" charset="0"/>
                      </a:rPr>
                      <a:pPr/>
                      <a:t>[SERIES NAME]</a:t>
                    </a:fld>
                    <a:endParaRPr lang="en-US" sz="1000" baseline="0">
                      <a:latin typeface="Arial" panose="020B0604020202020204" pitchFamily="34" charset="0"/>
                      <a:cs typeface="Arial" panose="020B0604020202020204" pitchFamily="34" charset="0"/>
                    </a:endParaRPr>
                  </a:p>
                  <a:p>
                    <a:fld id="{539EEA41-E106-FA46-B716-0DA5AD41FF32}" type="VALUE">
                      <a:rPr lang="en-US" sz="1000">
                        <a:latin typeface="Arial" panose="020B0604020202020204" pitchFamily="34" charset="0"/>
                        <a:cs typeface="Arial" panose="020B0604020202020204" pitchFamily="34" charset="0"/>
                      </a:rPr>
                      <a:pPr/>
                      <a:t>[VALUE]</a:t>
                    </a:fld>
                    <a:endParaRPr lang="en-US"/>
                  </a:p>
                </c:rich>
              </c:tx>
              <c:dLblPos val="outEnd"/>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A652-BA4A-8C0E-1CE0154FFD6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Calculations!$H$447:$H$449</c:f>
              <c:numCache>
                <c:formatCode>General</c:formatCode>
                <c:ptCount val="3"/>
              </c:numCache>
            </c:numRef>
          </c:cat>
          <c:val>
            <c:numRef>
              <c:f>Calculations!$F$449</c:f>
              <c:numCache>
                <c:formatCode>General</c:formatCode>
                <c:ptCount val="1"/>
                <c:pt idx="0">
                  <c:v>82.6</c:v>
                </c:pt>
              </c:numCache>
            </c:numRef>
          </c:val>
          <c:extLst>
            <c:ext xmlns:c16="http://schemas.microsoft.com/office/drawing/2014/chart" uri="{C3380CC4-5D6E-409C-BE32-E72D297353CC}">
              <c16:uniqueId val="{00000006-A652-BA4A-8C0E-1CE0154FFD6F}"/>
            </c:ext>
          </c:extLst>
        </c:ser>
        <c:ser>
          <c:idx val="1"/>
          <c:order val="1"/>
          <c:tx>
            <c:strRef>
              <c:f>Calculations!$E$445</c:f>
              <c:strCache>
                <c:ptCount val="1"/>
                <c:pt idx="0">
                  <c:v>DID</c:v>
                </c:pt>
              </c:strCache>
            </c:strRef>
          </c:tx>
          <c:spPr>
            <a:gradFill rotWithShape="1">
              <a:gsLst>
                <a:gs pos="0">
                  <a:srgbClr val="FFF58C"/>
                </a:gs>
                <a:gs pos="100000">
                  <a:schemeClr val="bg1"/>
                </a:gs>
                <a:gs pos="36000">
                  <a:srgbClr val="FFF58C"/>
                </a:gs>
              </a:gsLst>
              <a:path path="circle">
                <a:fillToRect l="50000" t="-80000" r="50000" b="180000"/>
              </a:path>
            </a:gradFill>
            <a:ln w="9525" cap="flat" cmpd="sng" algn="ctr">
              <a:solidFill>
                <a:schemeClr val="tx1"/>
              </a:solidFill>
              <a:round/>
            </a:ln>
            <a:effectLst>
              <a:outerShdw blurRad="40000" dist="20000" dir="5400000" rotWithShape="0">
                <a:srgbClr val="000000">
                  <a:alpha val="38000"/>
                </a:srgbClr>
              </a:outerShdw>
            </a:effectLst>
          </c:spPr>
          <c:invertIfNegative val="0"/>
          <c:dPt>
            <c:idx val="0"/>
            <c:invertIfNegative val="0"/>
            <c:bubble3D val="0"/>
            <c:spPr>
              <a:gradFill flip="none" rotWithShape="1">
                <a:gsLst>
                  <a:gs pos="0">
                    <a:srgbClr val="FFF58C"/>
                  </a:gs>
                  <a:gs pos="100000">
                    <a:schemeClr val="bg1"/>
                  </a:gs>
                  <a:gs pos="36000">
                    <a:srgbClr val="FFF58C"/>
                  </a:gs>
                </a:gsLst>
                <a:lin ang="16200000" scaled="1"/>
                <a:tileRect/>
              </a:gradFill>
              <a:ln w="9525" cap="flat" cmpd="sng" algn="ctr">
                <a:solidFill>
                  <a:schemeClr val="tx1"/>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A652-BA4A-8C0E-1CE0154FFD6F}"/>
              </c:ext>
            </c:extLst>
          </c:dPt>
          <c:dLbls>
            <c:dLbl>
              <c:idx val="0"/>
              <c:tx>
                <c:rich>
                  <a:bodyPr/>
                  <a:lstStyle/>
                  <a:p>
                    <a:fld id="{C9B47F77-E043-274D-92E1-73A20B648CF8}" type="SERIESNAME">
                      <a:rPr lang="en-US" sz="1000">
                        <a:latin typeface="Arial" panose="020B0604020202020204" pitchFamily="34" charset="0"/>
                        <a:cs typeface="Arial" panose="020B0604020202020204" pitchFamily="34" charset="0"/>
                      </a:rPr>
                      <a:pPr/>
                      <a:t>[SERIES NAME]</a:t>
                    </a:fld>
                    <a:endParaRPr lang="en-US" sz="1000" baseline="0">
                      <a:latin typeface="Arial" panose="020B0604020202020204" pitchFamily="34" charset="0"/>
                      <a:cs typeface="Arial" panose="020B0604020202020204" pitchFamily="34" charset="0"/>
                    </a:endParaRPr>
                  </a:p>
                  <a:p>
                    <a:fld id="{D7DD5708-FE0C-3046-BFD9-A2948CA38C83}" type="VALUE">
                      <a:rPr lang="en-US" sz="1000">
                        <a:latin typeface="Arial" panose="020B0604020202020204" pitchFamily="34" charset="0"/>
                        <a:cs typeface="Arial" panose="020B0604020202020204" pitchFamily="34" charset="0"/>
                      </a:rPr>
                      <a:pPr/>
                      <a:t>[VALUE]</a:t>
                    </a:fld>
                    <a:endParaRPr lang="en-US"/>
                  </a:p>
                </c:rich>
              </c:tx>
              <c:dLblPos val="outEnd"/>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A652-BA4A-8C0E-1CE0154FFD6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Calculations!$H$447:$H$449</c:f>
              <c:numCache>
                <c:formatCode>General</c:formatCode>
                <c:ptCount val="3"/>
              </c:numCache>
            </c:numRef>
          </c:cat>
          <c:val>
            <c:numRef>
              <c:f>Calculations!$E$449</c:f>
              <c:numCache>
                <c:formatCode>General</c:formatCode>
                <c:ptCount val="1"/>
                <c:pt idx="0">
                  <c:v>128.5</c:v>
                </c:pt>
              </c:numCache>
            </c:numRef>
          </c:val>
          <c:extLst>
            <c:ext xmlns:c16="http://schemas.microsoft.com/office/drawing/2014/chart" uri="{C3380CC4-5D6E-409C-BE32-E72D297353CC}">
              <c16:uniqueId val="{00000004-A652-BA4A-8C0E-1CE0154FFD6F}"/>
            </c:ext>
          </c:extLst>
        </c:ser>
        <c:ser>
          <c:idx val="0"/>
          <c:order val="2"/>
          <c:tx>
            <c:strRef>
              <c:f>Calculations!$D$445</c:f>
              <c:strCache>
                <c:ptCount val="1"/>
                <c:pt idx="0">
                  <c:v>Test-taker</c:v>
                </c:pt>
              </c:strCache>
            </c:strRef>
          </c:tx>
          <c:spPr>
            <a:gradFill flip="none" rotWithShape="1">
              <a:gsLst>
                <a:gs pos="0">
                  <a:srgbClr val="0432FF">
                    <a:lumMod val="84000"/>
                  </a:srgbClr>
                </a:gs>
                <a:gs pos="47000">
                  <a:schemeClr val="accent1">
                    <a:alpha val="74000"/>
                    <a:lumMod val="67000"/>
                    <a:lumOff val="33000"/>
                  </a:schemeClr>
                </a:gs>
                <a:gs pos="100000">
                  <a:schemeClr val="bg1">
                    <a:lumMod val="75000"/>
                    <a:lumOff val="25000"/>
                  </a:schemeClr>
                </a:gs>
              </a:gsLst>
              <a:lin ang="16200000" scaled="1"/>
              <a:tileRect/>
            </a:gradFill>
            <a:ln w="9525" cap="flat" cmpd="sng" algn="ctr">
              <a:solidFill>
                <a:schemeClr val="tx1"/>
              </a:solidFill>
              <a:round/>
            </a:ln>
            <a:effectLst>
              <a:outerShdw blurRad="40000" dist="20000" dir="5400000" rotWithShape="0">
                <a:srgbClr val="000000">
                  <a:alpha val="38000"/>
                </a:srgbClr>
              </a:outerShdw>
            </a:effectLst>
          </c:spPr>
          <c:invertIfNegative val="0"/>
          <c:dLbls>
            <c:dLbl>
              <c:idx val="0"/>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9F51794F-DE0E-F54E-8F91-34A8DE444852}" type="SERIESNAME">
                      <a:rPr lang="en-US" sz="900">
                        <a:latin typeface="Arial" panose="020B0604020202020204" pitchFamily="34" charset="0"/>
                        <a:cs typeface="Arial" panose="020B0604020202020204" pitchFamily="34" charset="0"/>
                      </a:rPr>
                      <a:pPr>
                        <a:defRPr>
                          <a:solidFill>
                            <a:schemeClr val="tx1"/>
                          </a:solidFill>
                        </a:defRPr>
                      </a:pPr>
                      <a:t>[SERIES NAME]</a:t>
                    </a:fld>
                    <a:endParaRPr lang="en-US" sz="900" baseline="0">
                      <a:latin typeface="Arial" panose="020B0604020202020204" pitchFamily="34" charset="0"/>
                      <a:cs typeface="Arial" panose="020B0604020202020204" pitchFamily="34" charset="0"/>
                    </a:endParaRPr>
                  </a:p>
                  <a:p>
                    <a:pPr>
                      <a:defRPr>
                        <a:solidFill>
                          <a:schemeClr val="tx1"/>
                        </a:solidFill>
                      </a:defRPr>
                    </a:pPr>
                    <a:fld id="{1E0BB3FD-FDBA-E147-A96A-9E6725C83523}" type="VALUE">
                      <a:rPr lang="en-US" sz="1000">
                        <a:latin typeface="Arial" panose="020B0604020202020204" pitchFamily="34" charset="0"/>
                        <a:cs typeface="Arial" panose="020B0604020202020204" pitchFamily="34" charset="0"/>
                      </a:rPr>
                      <a:pPr>
                        <a:defRPr>
                          <a:solidFill>
                            <a:schemeClr val="tx1"/>
                          </a:solidFill>
                        </a:defRPr>
                      </a:pPr>
                      <a:t>[VALUE]</a:t>
                    </a:fld>
                    <a:endParaRPr 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extLst>
                <c:ext xmlns:c15="http://schemas.microsoft.com/office/drawing/2012/chart" uri="{CE6537A1-D6FC-4f65-9D91-7224C49458BB}">
                  <c15:layout>
                    <c:manualLayout>
                      <c:w val="0.1767795842544625"/>
                      <c:h val="0.13114459837940232"/>
                    </c:manualLayout>
                  </c15:layout>
                  <c15:dlblFieldTable/>
                  <c15:showDataLabelsRange val="0"/>
                </c:ext>
                <c:ext xmlns:c16="http://schemas.microsoft.com/office/drawing/2014/chart" uri="{C3380CC4-5D6E-409C-BE32-E72D297353CC}">
                  <c16:uniqueId val="{00000000-A652-BA4A-8C0E-1CE0154FFD6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Calculations!$H$447:$H$449</c:f>
              <c:numCache>
                <c:formatCode>General</c:formatCode>
                <c:ptCount val="3"/>
              </c:numCache>
            </c:numRef>
          </c:cat>
          <c:val>
            <c:numRef>
              <c:f>Calculations!$D$449</c:f>
              <c:numCache>
                <c:formatCode>0.00</c:formatCode>
                <c:ptCount val="1"/>
                <c:pt idx="0">
                  <c:v>0</c:v>
                </c:pt>
              </c:numCache>
            </c:numRef>
          </c:val>
          <c:extLst>
            <c:ext xmlns:c16="http://schemas.microsoft.com/office/drawing/2014/chart" uri="{C3380CC4-5D6E-409C-BE32-E72D297353CC}">
              <c16:uniqueId val="{00000001-A652-BA4A-8C0E-1CE0154FFD6F}"/>
            </c:ext>
          </c:extLst>
        </c:ser>
        <c:dLbls>
          <c:showLegendKey val="0"/>
          <c:showVal val="0"/>
          <c:showCatName val="0"/>
          <c:showSerName val="0"/>
          <c:showPercent val="0"/>
          <c:showBubbleSize val="0"/>
        </c:dLbls>
        <c:gapWidth val="100"/>
        <c:overlap val="-24"/>
        <c:axId val="1683316575"/>
        <c:axId val="1683090911"/>
      </c:barChart>
      <c:catAx>
        <c:axId val="1683316575"/>
        <c:scaling>
          <c:orientation val="minMax"/>
        </c:scaling>
        <c:delete val="1"/>
        <c:axPos val="b"/>
        <c:numFmt formatCode="General" sourceLinked="1"/>
        <c:majorTickMark val="none"/>
        <c:minorTickMark val="none"/>
        <c:tickLblPos val="nextTo"/>
        <c:crossAx val="1683090911"/>
        <c:crosses val="autoZero"/>
        <c:auto val="0"/>
        <c:lblAlgn val="ctr"/>
        <c:lblOffset val="100"/>
        <c:noMultiLvlLbl val="0"/>
      </c:catAx>
      <c:valAx>
        <c:axId val="1683090911"/>
        <c:scaling>
          <c:orientation val="minMax"/>
          <c:max val="168"/>
          <c:min val="0"/>
        </c:scaling>
        <c:delete val="0"/>
        <c:axPos val="l"/>
        <c:majorGridlines>
          <c:spPr>
            <a:ln w="9525" cap="flat" cmpd="sng" algn="ctr">
              <a:solidFill>
                <a:schemeClr val="bg1">
                  <a:lumMod val="7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683316575"/>
        <c:crosses val="autoZero"/>
        <c:crossBetween val="between"/>
      </c:valAx>
      <c:spPr>
        <a:noFill/>
        <a:ln>
          <a:solidFill>
            <a:schemeClr val="tx1"/>
          </a:solid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175" cap="flat" cmpd="sng" algn="ctr">
      <a:solidFill>
        <a:schemeClr val="tx1"/>
      </a:solidFill>
      <a:round/>
    </a:ln>
    <a:effectLst/>
  </c:spPr>
  <c:txPr>
    <a:bodyPr/>
    <a:lstStyle/>
    <a:p>
      <a:pPr>
        <a:defRPr/>
      </a:pPr>
      <a:endParaRPr lang="en-US"/>
    </a:p>
  </c:txPr>
  <c:printSettings>
    <c:headerFooter>
      <c:oddHeader>&amp;C&amp;"Arial,Bold"&amp;16The MID Report: Line Graphs
&amp;"Arial,Italic"&amp;12Version 5.0 (Mac): October 19, 2019&amp;"Arial,Bold"&amp;16
</c:oddHeader>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MID Diagnostic Graph</a:t>
            </a:r>
          </a:p>
        </c:rich>
      </c:tx>
      <c:layout>
        <c:manualLayout>
          <c:xMode val="edge"/>
          <c:yMode val="edge"/>
          <c:x val="0.387978215223097"/>
          <c:y val="1.55734283214598E-2"/>
        </c:manualLayout>
      </c:layout>
      <c:overlay val="0"/>
      <c:spPr>
        <a:noFill/>
        <a:ln w="25400">
          <a:noFill/>
        </a:ln>
      </c:spPr>
    </c:title>
    <c:autoTitleDeleted val="0"/>
    <c:plotArea>
      <c:layout>
        <c:manualLayout>
          <c:layoutTarget val="inner"/>
          <c:xMode val="edge"/>
          <c:yMode val="edge"/>
          <c:x val="6.7195069700050888E-2"/>
          <c:y val="0.10232393281534319"/>
          <c:w val="0.90544655263612273"/>
          <c:h val="0.50435910046564336"/>
        </c:manualLayout>
      </c:layout>
      <c:lineChart>
        <c:grouping val="standard"/>
        <c:varyColors val="0"/>
        <c:ser>
          <c:idx val="1"/>
          <c:order val="0"/>
          <c:tx>
            <c:strRef>
              <c:f>Calculations!$E$347</c:f>
              <c:strCache>
                <c:ptCount val="1"/>
                <c:pt idx="0">
                  <c:v>Nondissociative</c:v>
                </c:pt>
              </c:strCache>
            </c:strRef>
          </c:tx>
          <c:spPr>
            <a:ln w="12700" cmpd="sng">
              <a:solidFill>
                <a:srgbClr val="F20884"/>
              </a:solidFill>
              <a:prstDash val="solid"/>
            </a:ln>
          </c:spPr>
          <c:marker>
            <c:symbol val="square"/>
            <c:size val="6"/>
            <c:spPr>
              <a:solidFill>
                <a:srgbClr val="FF82D6"/>
              </a:solidFill>
              <a:ln>
                <a:solidFill>
                  <a:srgbClr val="F20884"/>
                </a:solidFill>
                <a:prstDash val="solid"/>
              </a:ln>
            </c:spPr>
          </c:marker>
          <c:cat>
            <c:strRef>
              <c:f>Calculations!$C$348:$C$383</c:f>
              <c:strCache>
                <c:ptCount val="36"/>
                <c:pt idx="0">
                  <c:v>VALIDITY &amp; CHARACTEROLOGICAL SCALES</c:v>
                </c:pt>
                <c:pt idx="1">
                  <c:v>Defensiveness / Minimization</c:v>
                </c:pt>
                <c:pt idx="2">
                  <c:v>Emotional Suffering</c:v>
                </c:pt>
                <c:pt idx="3">
                  <c:v>Attention-Seeking Behavior</c:v>
                </c:pt>
                <c:pt idx="4">
                  <c:v>Rare Symptoms</c:v>
                </c:pt>
                <c:pt idx="5">
                  <c:v>Factitious Behavior</c:v>
                </c:pt>
                <c:pt idx="6">
                  <c:v>BPD Index</c:v>
                </c:pt>
                <c:pt idx="8">
                  <c:v>GENERAL PT DISSOCIATIVE SYMPTOMS</c:v>
                </c:pt>
                <c:pt idx="9">
                  <c:v>Memory Problems</c:v>
                </c:pt>
                <c:pt idx="10">
                  <c:v>Depersonalization</c:v>
                </c:pt>
                <c:pt idx="11">
                  <c:v>Derealization</c:v>
                </c:pt>
                <c:pt idx="12">
                  <c:v>Flashbacks</c:v>
                </c:pt>
                <c:pt idx="13">
                  <c:v>Somatoform Symptoms</c:v>
                </c:pt>
                <c:pt idx="14">
                  <c:v>Trance</c:v>
                </c:pt>
                <c:pt idx="16">
                  <c:v>PARTIALLY-DISSOCIATED INTRUSIONS</c:v>
                </c:pt>
                <c:pt idx="17">
                  <c:v>Child Voices</c:v>
                </c:pt>
                <c:pt idx="18">
                  <c:v>Voices / Internal Struggle</c:v>
                </c:pt>
                <c:pt idx="19">
                  <c:v>Persecutory Voices</c:v>
                </c:pt>
                <c:pt idx="20">
                  <c:v>Speech Insertion</c:v>
                </c:pt>
                <c:pt idx="21">
                  <c:v>Thought Insertion</c:v>
                </c:pt>
                <c:pt idx="22">
                  <c:v>'Made' / Intrusive Emotions</c:v>
                </c:pt>
                <c:pt idx="23">
                  <c:v>'Made' / Intrusive Impulses</c:v>
                </c:pt>
                <c:pt idx="24">
                  <c:v>'Made' / Intrusive Actions</c:v>
                </c:pt>
                <c:pt idx="25">
                  <c:v>Temporary Loss of Knowledge</c:v>
                </c:pt>
                <c:pt idx="26">
                  <c:v>Experiences of Self-Alteration</c:v>
                </c:pt>
                <c:pt idx="27">
                  <c:v>Puzzlement about Oneself</c:v>
                </c:pt>
                <c:pt idx="29">
                  <c:v>FULLY-DISSOCIATED ACTIONS (AMNESIA)</c:v>
                </c:pt>
                <c:pt idx="30">
                  <c:v>Time Loss</c:v>
                </c:pt>
                <c:pt idx="31">
                  <c:v>"Coming to"</c:v>
                </c:pt>
                <c:pt idx="32">
                  <c:v>Fugues</c:v>
                </c:pt>
                <c:pt idx="33">
                  <c:v>Being Told of Disremembered Actions</c:v>
                </c:pt>
                <c:pt idx="34">
                  <c:v>Finding Objects Among Possessions</c:v>
                </c:pt>
                <c:pt idx="35">
                  <c:v>Finding Evidence of One's Actions</c:v>
                </c:pt>
              </c:strCache>
            </c:strRef>
          </c:cat>
          <c:val>
            <c:numRef>
              <c:f>Calculations!$E$348:$E$383</c:f>
              <c:numCache>
                <c:formatCode>General</c:formatCode>
                <c:ptCount val="36"/>
                <c:pt idx="1">
                  <c:v>91</c:v>
                </c:pt>
                <c:pt idx="2">
                  <c:v>40</c:v>
                </c:pt>
                <c:pt idx="3">
                  <c:v>47</c:v>
                </c:pt>
                <c:pt idx="4">
                  <c:v>4</c:v>
                </c:pt>
                <c:pt idx="5">
                  <c:v>14</c:v>
                </c:pt>
                <c:pt idx="6">
                  <c:v>29.9</c:v>
                </c:pt>
                <c:pt idx="9">
                  <c:v>46.5</c:v>
                </c:pt>
                <c:pt idx="10">
                  <c:v>33.299999999999997</c:v>
                </c:pt>
                <c:pt idx="11">
                  <c:v>41.8</c:v>
                </c:pt>
                <c:pt idx="12">
                  <c:v>41.8</c:v>
                </c:pt>
                <c:pt idx="13">
                  <c:v>41.8</c:v>
                </c:pt>
                <c:pt idx="14">
                  <c:v>41.9</c:v>
                </c:pt>
                <c:pt idx="17">
                  <c:v>33.299999999999997</c:v>
                </c:pt>
                <c:pt idx="18">
                  <c:v>48.5</c:v>
                </c:pt>
                <c:pt idx="19">
                  <c:v>22</c:v>
                </c:pt>
                <c:pt idx="20">
                  <c:v>27.2</c:v>
                </c:pt>
                <c:pt idx="21">
                  <c:v>28.1</c:v>
                </c:pt>
                <c:pt idx="22">
                  <c:v>29.2</c:v>
                </c:pt>
                <c:pt idx="23">
                  <c:v>23.3</c:v>
                </c:pt>
                <c:pt idx="24">
                  <c:v>40.700000000000003</c:v>
                </c:pt>
                <c:pt idx="25">
                  <c:v>32.299999999999997</c:v>
                </c:pt>
                <c:pt idx="26">
                  <c:v>43.7</c:v>
                </c:pt>
                <c:pt idx="27">
                  <c:v>48.7</c:v>
                </c:pt>
                <c:pt idx="30">
                  <c:v>24.2</c:v>
                </c:pt>
                <c:pt idx="31">
                  <c:v>22.5</c:v>
                </c:pt>
                <c:pt idx="32">
                  <c:v>22.1</c:v>
                </c:pt>
                <c:pt idx="33">
                  <c:v>22.9</c:v>
                </c:pt>
                <c:pt idx="34">
                  <c:v>17.3</c:v>
                </c:pt>
                <c:pt idx="35">
                  <c:v>19.5</c:v>
                </c:pt>
              </c:numCache>
            </c:numRef>
          </c:val>
          <c:smooth val="0"/>
          <c:extLst>
            <c:ext xmlns:c16="http://schemas.microsoft.com/office/drawing/2014/chart" uri="{C3380CC4-5D6E-409C-BE32-E72D297353CC}">
              <c16:uniqueId val="{00000001-9860-4D42-AEC8-4687ED0842FA}"/>
            </c:ext>
          </c:extLst>
        </c:ser>
        <c:ser>
          <c:idx val="3"/>
          <c:order val="1"/>
          <c:tx>
            <c:strRef>
              <c:f>Calculations!$G$347</c:f>
              <c:strCache>
                <c:ptCount val="1"/>
                <c:pt idx="0">
                  <c:v>OSDD, Type 1a</c:v>
                </c:pt>
              </c:strCache>
            </c:strRef>
          </c:tx>
          <c:spPr>
            <a:ln w="12700" cmpd="sng">
              <a:solidFill>
                <a:schemeClr val="accent5">
                  <a:lumMod val="75000"/>
                </a:schemeClr>
              </a:solidFill>
              <a:prstDash val="solid"/>
            </a:ln>
          </c:spPr>
          <c:marker>
            <c:symbol val="circle"/>
            <c:size val="6"/>
            <c:spPr>
              <a:solidFill>
                <a:schemeClr val="accent5"/>
              </a:solidFill>
              <a:ln>
                <a:solidFill>
                  <a:schemeClr val="accent5">
                    <a:lumMod val="50000"/>
                  </a:schemeClr>
                </a:solidFill>
                <a:prstDash val="solid"/>
              </a:ln>
            </c:spPr>
          </c:marker>
          <c:val>
            <c:numRef>
              <c:f>Calculations!$G$348:$G$383</c:f>
              <c:numCache>
                <c:formatCode>General</c:formatCode>
                <c:ptCount val="36"/>
                <c:pt idx="1">
                  <c:v>70.98</c:v>
                </c:pt>
                <c:pt idx="2">
                  <c:v>63.92</c:v>
                </c:pt>
                <c:pt idx="3">
                  <c:v>39.31</c:v>
                </c:pt>
                <c:pt idx="4">
                  <c:v>5.79</c:v>
                </c:pt>
                <c:pt idx="5">
                  <c:v>14.29</c:v>
                </c:pt>
                <c:pt idx="6">
                  <c:v>28.6</c:v>
                </c:pt>
                <c:pt idx="9">
                  <c:v>175.5</c:v>
                </c:pt>
                <c:pt idx="10">
                  <c:v>187.5</c:v>
                </c:pt>
                <c:pt idx="11">
                  <c:v>191.9</c:v>
                </c:pt>
                <c:pt idx="12">
                  <c:v>165.5</c:v>
                </c:pt>
                <c:pt idx="13">
                  <c:v>130.6</c:v>
                </c:pt>
                <c:pt idx="14">
                  <c:v>160</c:v>
                </c:pt>
                <c:pt idx="17">
                  <c:v>180</c:v>
                </c:pt>
                <c:pt idx="18">
                  <c:v>197.5</c:v>
                </c:pt>
                <c:pt idx="19">
                  <c:v>140</c:v>
                </c:pt>
                <c:pt idx="20">
                  <c:v>91.3</c:v>
                </c:pt>
                <c:pt idx="21">
                  <c:v>120</c:v>
                </c:pt>
                <c:pt idx="22">
                  <c:v>117.5</c:v>
                </c:pt>
                <c:pt idx="23">
                  <c:v>95</c:v>
                </c:pt>
                <c:pt idx="24">
                  <c:v>158.1</c:v>
                </c:pt>
                <c:pt idx="25">
                  <c:v>126.3</c:v>
                </c:pt>
                <c:pt idx="26">
                  <c:v>177.5</c:v>
                </c:pt>
                <c:pt idx="27">
                  <c:v>204.2</c:v>
                </c:pt>
                <c:pt idx="30">
                  <c:v>118.8</c:v>
                </c:pt>
                <c:pt idx="31">
                  <c:v>101.3</c:v>
                </c:pt>
                <c:pt idx="32">
                  <c:v>102.5</c:v>
                </c:pt>
                <c:pt idx="33">
                  <c:v>90</c:v>
                </c:pt>
                <c:pt idx="34">
                  <c:v>80</c:v>
                </c:pt>
                <c:pt idx="35">
                  <c:v>87.5</c:v>
                </c:pt>
              </c:numCache>
            </c:numRef>
          </c:val>
          <c:smooth val="0"/>
          <c:extLst>
            <c:ext xmlns:c16="http://schemas.microsoft.com/office/drawing/2014/chart" uri="{C3380CC4-5D6E-409C-BE32-E72D297353CC}">
              <c16:uniqueId val="{00000003-9860-4D42-AEC8-4687ED0842FA}"/>
            </c:ext>
          </c:extLst>
        </c:ser>
        <c:ser>
          <c:idx val="2"/>
          <c:order val="2"/>
          <c:tx>
            <c:strRef>
              <c:f>Calculations!$F$347</c:f>
              <c:strCache>
                <c:ptCount val="1"/>
                <c:pt idx="0">
                  <c:v>DID</c:v>
                </c:pt>
              </c:strCache>
            </c:strRef>
          </c:tx>
          <c:spPr>
            <a:ln w="12700" cmpd="sng">
              <a:solidFill>
                <a:srgbClr val="FCF305"/>
              </a:solidFill>
              <a:prstDash val="solid"/>
            </a:ln>
          </c:spPr>
          <c:marker>
            <c:symbol val="triangle"/>
            <c:size val="6"/>
            <c:spPr>
              <a:solidFill>
                <a:srgbClr val="FCF305"/>
              </a:solidFill>
              <a:ln>
                <a:solidFill>
                  <a:schemeClr val="tx1">
                    <a:lumMod val="65000"/>
                    <a:lumOff val="35000"/>
                  </a:schemeClr>
                </a:solidFill>
                <a:prstDash val="solid"/>
              </a:ln>
            </c:spPr>
          </c:marker>
          <c:val>
            <c:numRef>
              <c:f>Calculations!$F$348:$F$383</c:f>
              <c:numCache>
                <c:formatCode>General</c:formatCode>
                <c:ptCount val="36"/>
                <c:pt idx="1">
                  <c:v>47.36</c:v>
                </c:pt>
                <c:pt idx="2">
                  <c:v>75.09</c:v>
                </c:pt>
                <c:pt idx="3">
                  <c:v>56.94</c:v>
                </c:pt>
                <c:pt idx="4">
                  <c:v>28.05</c:v>
                </c:pt>
                <c:pt idx="5">
                  <c:v>25.9</c:v>
                </c:pt>
                <c:pt idx="6">
                  <c:v>53.17</c:v>
                </c:pt>
                <c:pt idx="9">
                  <c:v>195.5</c:v>
                </c:pt>
                <c:pt idx="10">
                  <c:v>226.6</c:v>
                </c:pt>
                <c:pt idx="11">
                  <c:v>229.6</c:v>
                </c:pt>
                <c:pt idx="12">
                  <c:v>202.1</c:v>
                </c:pt>
                <c:pt idx="13">
                  <c:v>145.1</c:v>
                </c:pt>
                <c:pt idx="14">
                  <c:v>186.1</c:v>
                </c:pt>
                <c:pt idx="17">
                  <c:v>240.8</c:v>
                </c:pt>
                <c:pt idx="18">
                  <c:v>253.5</c:v>
                </c:pt>
                <c:pt idx="19">
                  <c:v>190.1</c:v>
                </c:pt>
                <c:pt idx="20">
                  <c:v>123.7</c:v>
                </c:pt>
                <c:pt idx="21">
                  <c:v>144.69999999999999</c:v>
                </c:pt>
                <c:pt idx="22">
                  <c:v>148.4</c:v>
                </c:pt>
                <c:pt idx="23">
                  <c:v>126.3</c:v>
                </c:pt>
                <c:pt idx="24">
                  <c:v>195.7</c:v>
                </c:pt>
                <c:pt idx="25">
                  <c:v>187.5</c:v>
                </c:pt>
                <c:pt idx="26">
                  <c:v>231.3</c:v>
                </c:pt>
                <c:pt idx="27">
                  <c:v>231.6</c:v>
                </c:pt>
                <c:pt idx="30">
                  <c:v>165.1</c:v>
                </c:pt>
                <c:pt idx="31">
                  <c:v>147.4</c:v>
                </c:pt>
                <c:pt idx="32">
                  <c:v>170.4</c:v>
                </c:pt>
                <c:pt idx="33">
                  <c:v>139.5</c:v>
                </c:pt>
                <c:pt idx="34">
                  <c:v>127.6</c:v>
                </c:pt>
                <c:pt idx="35">
                  <c:v>150</c:v>
                </c:pt>
              </c:numCache>
            </c:numRef>
          </c:val>
          <c:smooth val="0"/>
          <c:extLst>
            <c:ext xmlns:c16="http://schemas.microsoft.com/office/drawing/2014/chart" uri="{C3380CC4-5D6E-409C-BE32-E72D297353CC}">
              <c16:uniqueId val="{00000002-9860-4D42-AEC8-4687ED0842FA}"/>
            </c:ext>
          </c:extLst>
        </c:ser>
        <c:ser>
          <c:idx val="0"/>
          <c:order val="3"/>
          <c:tx>
            <c:strRef>
              <c:f>Calculations!$D$347</c:f>
              <c:strCache>
                <c:ptCount val="1"/>
                <c:pt idx="0">
                  <c:v>Test-taker</c:v>
                </c:pt>
              </c:strCache>
            </c:strRef>
          </c:tx>
          <c:spPr>
            <a:ln w="12700" cmpd="sng">
              <a:solidFill>
                <a:srgbClr val="0432FF"/>
              </a:solidFill>
              <a:prstDash val="solid"/>
            </a:ln>
          </c:spPr>
          <c:marker>
            <c:symbol val="diamond"/>
            <c:size val="7"/>
            <c:spPr>
              <a:solidFill>
                <a:srgbClr val="0432FF"/>
              </a:solidFill>
              <a:ln>
                <a:solidFill>
                  <a:srgbClr val="0432FF"/>
                </a:solidFill>
                <a:prstDash val="solid"/>
              </a:ln>
            </c:spPr>
          </c:marker>
          <c:cat>
            <c:strRef>
              <c:f>Calculations!$C$348:$C$383</c:f>
              <c:strCache>
                <c:ptCount val="36"/>
                <c:pt idx="0">
                  <c:v>VALIDITY &amp; CHARACTEROLOGICAL SCALES</c:v>
                </c:pt>
                <c:pt idx="1">
                  <c:v>Defensiveness / Minimization</c:v>
                </c:pt>
                <c:pt idx="2">
                  <c:v>Emotional Suffering</c:v>
                </c:pt>
                <c:pt idx="3">
                  <c:v>Attention-Seeking Behavior</c:v>
                </c:pt>
                <c:pt idx="4">
                  <c:v>Rare Symptoms</c:v>
                </c:pt>
                <c:pt idx="5">
                  <c:v>Factitious Behavior</c:v>
                </c:pt>
                <c:pt idx="6">
                  <c:v>BPD Index</c:v>
                </c:pt>
                <c:pt idx="8">
                  <c:v>GENERAL PT DISSOCIATIVE SYMPTOMS</c:v>
                </c:pt>
                <c:pt idx="9">
                  <c:v>Memory Problems</c:v>
                </c:pt>
                <c:pt idx="10">
                  <c:v>Depersonalization</c:v>
                </c:pt>
                <c:pt idx="11">
                  <c:v>Derealization</c:v>
                </c:pt>
                <c:pt idx="12">
                  <c:v>Flashbacks</c:v>
                </c:pt>
                <c:pt idx="13">
                  <c:v>Somatoform Symptoms</c:v>
                </c:pt>
                <c:pt idx="14">
                  <c:v>Trance</c:v>
                </c:pt>
                <c:pt idx="16">
                  <c:v>PARTIALLY-DISSOCIATED INTRUSIONS</c:v>
                </c:pt>
                <c:pt idx="17">
                  <c:v>Child Voices</c:v>
                </c:pt>
                <c:pt idx="18">
                  <c:v>Voices / Internal Struggle</c:v>
                </c:pt>
                <c:pt idx="19">
                  <c:v>Persecutory Voices</c:v>
                </c:pt>
                <c:pt idx="20">
                  <c:v>Speech Insertion</c:v>
                </c:pt>
                <c:pt idx="21">
                  <c:v>Thought Insertion</c:v>
                </c:pt>
                <c:pt idx="22">
                  <c:v>'Made' / Intrusive Emotions</c:v>
                </c:pt>
                <c:pt idx="23">
                  <c:v>'Made' / Intrusive Impulses</c:v>
                </c:pt>
                <c:pt idx="24">
                  <c:v>'Made' / Intrusive Actions</c:v>
                </c:pt>
                <c:pt idx="25">
                  <c:v>Temporary Loss of Knowledge</c:v>
                </c:pt>
                <c:pt idx="26">
                  <c:v>Experiences of Self-Alteration</c:v>
                </c:pt>
                <c:pt idx="27">
                  <c:v>Puzzlement about Oneself</c:v>
                </c:pt>
                <c:pt idx="29">
                  <c:v>FULLY-DISSOCIATED ACTIONS (AMNESIA)</c:v>
                </c:pt>
                <c:pt idx="30">
                  <c:v>Time Loss</c:v>
                </c:pt>
                <c:pt idx="31">
                  <c:v>"Coming to"</c:v>
                </c:pt>
                <c:pt idx="32">
                  <c:v>Fugues</c:v>
                </c:pt>
                <c:pt idx="33">
                  <c:v>Being Told of Disremembered Actions</c:v>
                </c:pt>
                <c:pt idx="34">
                  <c:v>Finding Objects Among Possessions</c:v>
                </c:pt>
                <c:pt idx="35">
                  <c:v>Finding Evidence of One's Actions</c:v>
                </c:pt>
              </c:strCache>
            </c:strRef>
          </c:cat>
          <c:val>
            <c:numRef>
              <c:f>Calculations!$D$348:$D$383</c:f>
              <c:numCache>
                <c:formatCode>0.00</c:formatCode>
                <c:ptCount val="36"/>
                <c:pt idx="1">
                  <c:v>142.85714285714286</c:v>
                </c:pt>
                <c:pt idx="2">
                  <c:v>0</c:v>
                </c:pt>
                <c:pt idx="3">
                  <c:v>0</c:v>
                </c:pt>
                <c:pt idx="4">
                  <c:v>0</c:v>
                </c:pt>
                <c:pt idx="5">
                  <c:v>0</c:v>
                </c:pt>
                <c:pt idx="6">
                  <c:v>0</c:v>
                </c:pt>
                <c:pt idx="9">
                  <c:v>0</c:v>
                </c:pt>
                <c:pt idx="10">
                  <c:v>0</c:v>
                </c:pt>
                <c:pt idx="11">
                  <c:v>0</c:v>
                </c:pt>
                <c:pt idx="12">
                  <c:v>0</c:v>
                </c:pt>
                <c:pt idx="13">
                  <c:v>0</c:v>
                </c:pt>
                <c:pt idx="14">
                  <c:v>0</c:v>
                </c:pt>
                <c:pt idx="17">
                  <c:v>0</c:v>
                </c:pt>
                <c:pt idx="18">
                  <c:v>0</c:v>
                </c:pt>
                <c:pt idx="19">
                  <c:v>0</c:v>
                </c:pt>
                <c:pt idx="20">
                  <c:v>0</c:v>
                </c:pt>
                <c:pt idx="21">
                  <c:v>0</c:v>
                </c:pt>
                <c:pt idx="22">
                  <c:v>0</c:v>
                </c:pt>
                <c:pt idx="23">
                  <c:v>0</c:v>
                </c:pt>
                <c:pt idx="24">
                  <c:v>0</c:v>
                </c:pt>
                <c:pt idx="25">
                  <c:v>0</c:v>
                </c:pt>
                <c:pt idx="26">
                  <c:v>0</c:v>
                </c:pt>
                <c:pt idx="27">
                  <c:v>0</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0-9860-4D42-AEC8-4687ED0842FA}"/>
            </c:ext>
          </c:extLst>
        </c:ser>
        <c:dLbls>
          <c:showLegendKey val="0"/>
          <c:showVal val="0"/>
          <c:showCatName val="0"/>
          <c:showSerName val="0"/>
          <c:showPercent val="0"/>
          <c:showBubbleSize val="0"/>
        </c:dLbls>
        <c:marker val="1"/>
        <c:smooth val="0"/>
        <c:axId val="813513520"/>
        <c:axId val="824203600"/>
      </c:lineChart>
      <c:catAx>
        <c:axId val="813513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nchor="ctr" anchorCtr="1"/>
          <a:lstStyle/>
          <a:p>
            <a:pPr>
              <a:defRPr sz="1200" b="0" i="0" u="none" strike="noStrike" baseline="0">
                <a:solidFill>
                  <a:srgbClr val="000000"/>
                </a:solidFill>
                <a:latin typeface="Arial"/>
                <a:ea typeface="Arial"/>
                <a:cs typeface="Arial"/>
              </a:defRPr>
            </a:pPr>
            <a:endParaRPr lang="en-US"/>
          </a:p>
        </c:txPr>
        <c:crossAx val="824203600"/>
        <c:crossesAt val="0"/>
        <c:auto val="1"/>
        <c:lblAlgn val="ctr"/>
        <c:lblOffset val="100"/>
        <c:tickLblSkip val="1"/>
        <c:tickMarkSkip val="1"/>
        <c:noMultiLvlLbl val="0"/>
      </c:catAx>
      <c:valAx>
        <c:axId val="824203600"/>
        <c:scaling>
          <c:orientation val="minMax"/>
          <c:max val="3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3513520"/>
        <c:crosses val="autoZero"/>
        <c:crossBetween val="between"/>
        <c:majorUnit val="50"/>
        <c:minorUnit val="50"/>
      </c:valAx>
      <c:spPr>
        <a:solidFill>
          <a:srgbClr val="C0C0C0"/>
        </a:solidFill>
        <a:ln w="12700">
          <a:solidFill>
            <a:srgbClr val="808080"/>
          </a:solidFill>
          <a:prstDash val="solid"/>
        </a:ln>
      </c:spPr>
    </c:plotArea>
    <c:legend>
      <c:legendPos val="r"/>
      <c:layout>
        <c:manualLayout>
          <c:xMode val="edge"/>
          <c:yMode val="edge"/>
          <c:x val="1.7523644560997285E-2"/>
          <c:y val="5.2860941048971627E-2"/>
          <c:w val="0.95511132183892311"/>
          <c:h val="3.6154955607767776E-2"/>
        </c:manualLayout>
      </c:layout>
      <c:overlay val="0"/>
      <c:spPr>
        <a:solidFill>
          <a:srgbClr val="BFBFB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n-US"/>
    </a:p>
  </c:txPr>
  <c:printSettings>
    <c:headerFooter>
      <c:oddHeader>&amp;C&amp;"Arial,Bold"&amp;16The MID Report: Line Graphs
&amp;"Arial,Italic"&amp;12Version 5.0 (Mac): April 20, 2020&amp;"Arial,Bold"
</c:oddHeader>
    </c:headerFooter>
    <c:pageMargins b="1" l="0.5" r="0.5" t="1" header="0.5" footer="0.5"/>
    <c:pageSetup orientation="portrait" horizontalDpi="-3"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MID Clinical Summary Graph</a:t>
            </a:r>
          </a:p>
        </c:rich>
      </c:tx>
      <c:layout>
        <c:manualLayout>
          <c:xMode val="edge"/>
          <c:yMode val="edge"/>
          <c:x val="0.33803878333568727"/>
          <c:y val="1.1523420935038284E-2"/>
        </c:manualLayout>
      </c:layout>
      <c:overlay val="0"/>
      <c:spPr>
        <a:noFill/>
        <a:ln w="25400">
          <a:noFill/>
        </a:ln>
      </c:spPr>
    </c:title>
    <c:autoTitleDeleted val="0"/>
    <c:plotArea>
      <c:layout>
        <c:manualLayout>
          <c:layoutTarget val="inner"/>
          <c:xMode val="edge"/>
          <c:yMode val="edge"/>
          <c:x val="6.2151665969444735E-2"/>
          <c:y val="8.8436354733322606E-2"/>
          <c:w val="0.91199181148033803"/>
          <c:h val="0.40073849297355441"/>
        </c:manualLayout>
      </c:layout>
      <c:lineChart>
        <c:grouping val="standard"/>
        <c:varyColors val="0"/>
        <c:ser>
          <c:idx val="1"/>
          <c:order val="0"/>
          <c:tx>
            <c:strRef>
              <c:f>Calculations!$E$315</c:f>
              <c:strCache>
                <c:ptCount val="1"/>
                <c:pt idx="0">
                  <c:v>Nondissociative</c:v>
                </c:pt>
              </c:strCache>
            </c:strRef>
          </c:tx>
          <c:spPr>
            <a:ln w="12700" cmpd="sng">
              <a:solidFill>
                <a:srgbClr val="FF00FF"/>
              </a:solidFill>
              <a:prstDash val="solid"/>
            </a:ln>
          </c:spPr>
          <c:marker>
            <c:symbol val="square"/>
            <c:size val="6"/>
            <c:spPr>
              <a:solidFill>
                <a:srgbClr val="FF82D6"/>
              </a:solidFill>
              <a:ln>
                <a:solidFill>
                  <a:srgbClr val="FF00FF"/>
                </a:solidFill>
                <a:prstDash val="solid"/>
              </a:ln>
            </c:spPr>
          </c:marker>
          <c:cat>
            <c:strRef>
              <c:f>Calculations!$C$389:$C$425</c:f>
              <c:strCache>
                <c:ptCount val="36"/>
                <c:pt idx="1">
                  <c:v>DISSOCIATION SCALES (% of Items 'Passed' Unless Noted)</c:v>
                </c:pt>
                <c:pt idx="2">
                  <c:v>Mean MID Score</c:v>
                </c:pt>
                <c:pt idx="3">
                  <c:v>Mini-MID Score (Mean)</c:v>
                </c:pt>
                <c:pt idx="4">
                  <c:v>Severe Dissociation </c:v>
                </c:pt>
                <c:pt idx="5">
                  <c:v>Depersonalization</c:v>
                </c:pt>
                <c:pt idx="6">
                  <c:v>Derealization</c:v>
                </c:pt>
                <c:pt idx="7">
                  <c:v>Amnesia</c:v>
                </c:pt>
                <c:pt idx="9">
                  <c:v>PARTS AND ALTERS SCALES (Mean Scores)</c:v>
                </c:pt>
                <c:pt idx="10">
                  <c:v>Experiences of Self-Alteration</c:v>
                </c:pt>
                <c:pt idx="11">
                  <c:v>I Have DID</c:v>
                </c:pt>
                <c:pt idx="12">
                  <c:v>I Have Parts</c:v>
                </c:pt>
                <c:pt idx="13">
                  <c:v>Child Parts</c:v>
                </c:pt>
                <c:pt idx="14">
                  <c:v>Helper Parts</c:v>
                </c:pt>
                <c:pt idx="15">
                  <c:v>Angry Parts</c:v>
                </c:pt>
                <c:pt idx="16">
                  <c:v>Persecutor Parts</c:v>
                </c:pt>
                <c:pt idx="18">
                  <c:v>VALIDITY SCALES (% of Items 'Passed' Unless Noted)</c:v>
                </c:pt>
                <c:pt idx="19">
                  <c:v>Defensiveness / Minimization (Mean)</c:v>
                </c:pt>
                <c:pt idx="20">
                  <c:v>Defensiveness / Minimization</c:v>
                </c:pt>
                <c:pt idx="21">
                  <c:v>Rare Symptoms</c:v>
                </c:pt>
                <c:pt idx="22">
                  <c:v>Psychosis Screen</c:v>
                </c:pt>
                <c:pt idx="24">
                  <c:v>CHARACTEROLOGICAL SCALES (Mean Scores Unless Noted)</c:v>
                </c:pt>
                <c:pt idx="25">
                  <c:v>Attention-Seeking Behavior (% of Items 'Passed')</c:v>
                </c:pt>
                <c:pt idx="26">
                  <c:v>Factitious Behavior (% of Items 'Passed')</c:v>
                </c:pt>
                <c:pt idx="27">
                  <c:v>Manipulativeness</c:v>
                </c:pt>
                <c:pt idx="28">
                  <c:v>Interpersonal Intrusiveness</c:v>
                </c:pt>
                <c:pt idx="29">
                  <c:v>Identity Confusion</c:v>
                </c:pt>
                <c:pt idx="30">
                  <c:v>Emotional Suffering</c:v>
                </c:pt>
                <c:pt idx="31">
                  <c:v>Abandonment</c:v>
                </c:pt>
                <c:pt idx="33">
                  <c:v>FUNCTIONALITY/IMPAIRMENT SCALES (Mean Scores)</c:v>
                </c:pt>
                <c:pt idx="34">
                  <c:v>Critical Items Scale</c:v>
                </c:pt>
                <c:pt idx="35">
                  <c:v>Cognitive Distraction</c:v>
                </c:pt>
              </c:strCache>
            </c:strRef>
          </c:cat>
          <c:val>
            <c:numRef>
              <c:f>Calculations!$E$389:$E$425</c:f>
              <c:numCache>
                <c:formatCode>General</c:formatCode>
                <c:ptCount val="37"/>
                <c:pt idx="2">
                  <c:v>7</c:v>
                </c:pt>
                <c:pt idx="3">
                  <c:v>4.3099999999999996</c:v>
                </c:pt>
                <c:pt idx="4">
                  <c:v>14</c:v>
                </c:pt>
                <c:pt idx="5">
                  <c:v>13</c:v>
                </c:pt>
                <c:pt idx="6">
                  <c:v>16</c:v>
                </c:pt>
                <c:pt idx="7">
                  <c:v>7</c:v>
                </c:pt>
                <c:pt idx="10">
                  <c:v>5</c:v>
                </c:pt>
                <c:pt idx="11">
                  <c:v>2</c:v>
                </c:pt>
                <c:pt idx="12">
                  <c:v>6</c:v>
                </c:pt>
                <c:pt idx="13">
                  <c:v>5</c:v>
                </c:pt>
                <c:pt idx="14">
                  <c:v>5</c:v>
                </c:pt>
                <c:pt idx="15">
                  <c:v>6</c:v>
                </c:pt>
                <c:pt idx="16">
                  <c:v>4</c:v>
                </c:pt>
                <c:pt idx="19">
                  <c:v>64</c:v>
                </c:pt>
                <c:pt idx="20">
                  <c:v>12</c:v>
                </c:pt>
                <c:pt idx="21">
                  <c:v>3</c:v>
                </c:pt>
                <c:pt idx="22">
                  <c:v>4</c:v>
                </c:pt>
                <c:pt idx="25">
                  <c:v>15</c:v>
                </c:pt>
                <c:pt idx="26">
                  <c:v>4</c:v>
                </c:pt>
                <c:pt idx="27">
                  <c:v>6.59</c:v>
                </c:pt>
                <c:pt idx="28">
                  <c:v>14</c:v>
                </c:pt>
                <c:pt idx="29">
                  <c:v>15</c:v>
                </c:pt>
                <c:pt idx="30">
                  <c:v>29</c:v>
                </c:pt>
                <c:pt idx="31">
                  <c:v>32</c:v>
                </c:pt>
                <c:pt idx="34">
                  <c:v>3</c:v>
                </c:pt>
                <c:pt idx="35">
                  <c:v>36</c:v>
                </c:pt>
              </c:numCache>
            </c:numRef>
          </c:val>
          <c:smooth val="0"/>
          <c:extLst>
            <c:ext xmlns:c16="http://schemas.microsoft.com/office/drawing/2014/chart" uri="{C3380CC4-5D6E-409C-BE32-E72D297353CC}">
              <c16:uniqueId val="{00000001-A41A-004C-BADB-1ABB19D77111}"/>
            </c:ext>
          </c:extLst>
        </c:ser>
        <c:ser>
          <c:idx val="3"/>
          <c:order val="1"/>
          <c:tx>
            <c:strRef>
              <c:f>Calculations!$G$388</c:f>
              <c:strCache>
                <c:ptCount val="1"/>
                <c:pt idx="0">
                  <c:v>OSDD, Type 1a</c:v>
                </c:pt>
              </c:strCache>
            </c:strRef>
          </c:tx>
          <c:spPr>
            <a:ln w="12700" cmpd="sng">
              <a:solidFill>
                <a:schemeClr val="accent5">
                  <a:lumMod val="75000"/>
                </a:schemeClr>
              </a:solidFill>
              <a:prstDash val="solid"/>
            </a:ln>
          </c:spPr>
          <c:marker>
            <c:symbol val="circle"/>
            <c:size val="6"/>
            <c:spPr>
              <a:solidFill>
                <a:schemeClr val="accent5"/>
              </a:solidFill>
              <a:ln>
                <a:solidFill>
                  <a:schemeClr val="accent5">
                    <a:lumMod val="50000"/>
                  </a:schemeClr>
                </a:solidFill>
                <a:prstDash val="solid"/>
              </a:ln>
            </c:spPr>
          </c:marker>
          <c:val>
            <c:numRef>
              <c:f>Calculations!$G$389:$G$425</c:f>
              <c:numCache>
                <c:formatCode>General</c:formatCode>
                <c:ptCount val="37"/>
                <c:pt idx="2">
                  <c:v>28.08</c:v>
                </c:pt>
                <c:pt idx="3">
                  <c:v>21.91</c:v>
                </c:pt>
                <c:pt idx="4">
                  <c:v>47.37</c:v>
                </c:pt>
                <c:pt idx="5">
                  <c:v>61.11</c:v>
                </c:pt>
                <c:pt idx="6">
                  <c:v>57.64</c:v>
                </c:pt>
                <c:pt idx="7">
                  <c:v>11.56</c:v>
                </c:pt>
                <c:pt idx="10">
                  <c:v>25</c:v>
                </c:pt>
                <c:pt idx="11">
                  <c:v>28.33</c:v>
                </c:pt>
                <c:pt idx="12">
                  <c:v>35.28</c:v>
                </c:pt>
                <c:pt idx="13">
                  <c:v>38.81</c:v>
                </c:pt>
                <c:pt idx="14">
                  <c:v>40</c:v>
                </c:pt>
                <c:pt idx="15">
                  <c:v>21.78</c:v>
                </c:pt>
                <c:pt idx="16">
                  <c:v>38.51</c:v>
                </c:pt>
                <c:pt idx="19">
                  <c:v>49.69</c:v>
                </c:pt>
                <c:pt idx="20">
                  <c:v>4.51</c:v>
                </c:pt>
                <c:pt idx="21">
                  <c:v>3.82</c:v>
                </c:pt>
                <c:pt idx="22">
                  <c:v>7.29</c:v>
                </c:pt>
                <c:pt idx="25">
                  <c:v>12.92</c:v>
                </c:pt>
                <c:pt idx="26">
                  <c:v>4.29</c:v>
                </c:pt>
                <c:pt idx="27">
                  <c:v>6.85</c:v>
                </c:pt>
                <c:pt idx="28">
                  <c:v>17.420000000000002</c:v>
                </c:pt>
                <c:pt idx="29">
                  <c:v>47.29</c:v>
                </c:pt>
                <c:pt idx="30">
                  <c:v>46.88</c:v>
                </c:pt>
                <c:pt idx="31">
                  <c:v>48.82</c:v>
                </c:pt>
                <c:pt idx="34">
                  <c:v>17.329999999999998</c:v>
                </c:pt>
                <c:pt idx="35">
                  <c:v>50.31</c:v>
                </c:pt>
              </c:numCache>
            </c:numRef>
          </c:val>
          <c:smooth val="0"/>
          <c:extLst>
            <c:ext xmlns:c16="http://schemas.microsoft.com/office/drawing/2014/chart" uri="{C3380CC4-5D6E-409C-BE32-E72D297353CC}">
              <c16:uniqueId val="{00000003-A41A-004C-BADB-1ABB19D77111}"/>
            </c:ext>
          </c:extLst>
        </c:ser>
        <c:ser>
          <c:idx val="2"/>
          <c:order val="2"/>
          <c:tx>
            <c:strRef>
              <c:f>Calculations!$F$388</c:f>
              <c:strCache>
                <c:ptCount val="1"/>
                <c:pt idx="0">
                  <c:v>DID</c:v>
                </c:pt>
              </c:strCache>
            </c:strRef>
          </c:tx>
          <c:spPr>
            <a:ln w="12700" cmpd="sng">
              <a:solidFill>
                <a:srgbClr val="FCF305"/>
              </a:solidFill>
              <a:prstDash val="solid"/>
            </a:ln>
          </c:spPr>
          <c:marker>
            <c:symbol val="triangle"/>
            <c:size val="6"/>
            <c:spPr>
              <a:solidFill>
                <a:srgbClr val="FCF305"/>
              </a:solidFill>
              <a:ln>
                <a:solidFill>
                  <a:schemeClr val="tx1">
                    <a:lumMod val="65000"/>
                    <a:lumOff val="35000"/>
                  </a:schemeClr>
                </a:solidFill>
                <a:prstDash val="solid"/>
              </a:ln>
            </c:spPr>
          </c:marker>
          <c:val>
            <c:numRef>
              <c:f>Calculations!$F$389:$F$425</c:f>
              <c:numCache>
                <c:formatCode>General</c:formatCode>
                <c:ptCount val="37"/>
                <c:pt idx="2">
                  <c:v>50.56</c:v>
                </c:pt>
                <c:pt idx="3">
                  <c:v>51.57</c:v>
                </c:pt>
                <c:pt idx="4">
                  <c:v>75.010000000000005</c:v>
                </c:pt>
                <c:pt idx="5">
                  <c:v>75.2</c:v>
                </c:pt>
                <c:pt idx="6">
                  <c:v>74.790000000000006</c:v>
                </c:pt>
                <c:pt idx="7">
                  <c:v>65.930000000000007</c:v>
                </c:pt>
                <c:pt idx="10">
                  <c:v>48.48</c:v>
                </c:pt>
                <c:pt idx="11">
                  <c:v>61.77</c:v>
                </c:pt>
                <c:pt idx="12">
                  <c:v>61.3</c:v>
                </c:pt>
                <c:pt idx="13">
                  <c:v>57.66</c:v>
                </c:pt>
                <c:pt idx="14">
                  <c:v>37.56</c:v>
                </c:pt>
                <c:pt idx="15">
                  <c:v>54.02</c:v>
                </c:pt>
                <c:pt idx="16">
                  <c:v>55.6</c:v>
                </c:pt>
                <c:pt idx="19">
                  <c:v>33.15</c:v>
                </c:pt>
                <c:pt idx="20">
                  <c:v>2.4300000000000002</c:v>
                </c:pt>
                <c:pt idx="21">
                  <c:v>11.17</c:v>
                </c:pt>
                <c:pt idx="22">
                  <c:v>11.58</c:v>
                </c:pt>
                <c:pt idx="25">
                  <c:v>18.71</c:v>
                </c:pt>
                <c:pt idx="26">
                  <c:v>7.77</c:v>
                </c:pt>
                <c:pt idx="27">
                  <c:v>7.03</c:v>
                </c:pt>
                <c:pt idx="28">
                  <c:v>20.58</c:v>
                </c:pt>
                <c:pt idx="29">
                  <c:v>72.11</c:v>
                </c:pt>
                <c:pt idx="30">
                  <c:v>55.06</c:v>
                </c:pt>
                <c:pt idx="31">
                  <c:v>57.52</c:v>
                </c:pt>
                <c:pt idx="34">
                  <c:v>36.020000000000003</c:v>
                </c:pt>
                <c:pt idx="35">
                  <c:v>66.849999999999994</c:v>
                </c:pt>
              </c:numCache>
            </c:numRef>
          </c:val>
          <c:smooth val="0"/>
          <c:extLst>
            <c:ext xmlns:c16="http://schemas.microsoft.com/office/drawing/2014/chart" uri="{C3380CC4-5D6E-409C-BE32-E72D297353CC}">
              <c16:uniqueId val="{00000002-A41A-004C-BADB-1ABB19D77111}"/>
            </c:ext>
          </c:extLst>
        </c:ser>
        <c:ser>
          <c:idx val="0"/>
          <c:order val="3"/>
          <c:tx>
            <c:strRef>
              <c:f>Calculations!$D$315</c:f>
              <c:strCache>
                <c:ptCount val="1"/>
                <c:pt idx="0">
                  <c:v>Test-taker</c:v>
                </c:pt>
              </c:strCache>
            </c:strRef>
          </c:tx>
          <c:spPr>
            <a:ln w="12700" cmpd="sng">
              <a:solidFill>
                <a:srgbClr val="0432FF"/>
              </a:solidFill>
              <a:prstDash val="solid"/>
            </a:ln>
          </c:spPr>
          <c:marker>
            <c:symbol val="diamond"/>
            <c:size val="7"/>
            <c:spPr>
              <a:solidFill>
                <a:srgbClr val="0432FF"/>
              </a:solidFill>
              <a:ln>
                <a:solidFill>
                  <a:srgbClr val="0432FF"/>
                </a:solidFill>
                <a:prstDash val="solid"/>
              </a:ln>
            </c:spPr>
          </c:marker>
          <c:cat>
            <c:strRef>
              <c:f>Calculations!$C$389:$C$425</c:f>
              <c:strCache>
                <c:ptCount val="36"/>
                <c:pt idx="1">
                  <c:v>DISSOCIATION SCALES (% of Items 'Passed' Unless Noted)</c:v>
                </c:pt>
                <c:pt idx="2">
                  <c:v>Mean MID Score</c:v>
                </c:pt>
                <c:pt idx="3">
                  <c:v>Mini-MID Score (Mean)</c:v>
                </c:pt>
                <c:pt idx="4">
                  <c:v>Severe Dissociation </c:v>
                </c:pt>
                <c:pt idx="5">
                  <c:v>Depersonalization</c:v>
                </c:pt>
                <c:pt idx="6">
                  <c:v>Derealization</c:v>
                </c:pt>
                <c:pt idx="7">
                  <c:v>Amnesia</c:v>
                </c:pt>
                <c:pt idx="9">
                  <c:v>PARTS AND ALTERS SCALES (Mean Scores)</c:v>
                </c:pt>
                <c:pt idx="10">
                  <c:v>Experiences of Self-Alteration</c:v>
                </c:pt>
                <c:pt idx="11">
                  <c:v>I Have DID</c:v>
                </c:pt>
                <c:pt idx="12">
                  <c:v>I Have Parts</c:v>
                </c:pt>
                <c:pt idx="13">
                  <c:v>Child Parts</c:v>
                </c:pt>
                <c:pt idx="14">
                  <c:v>Helper Parts</c:v>
                </c:pt>
                <c:pt idx="15">
                  <c:v>Angry Parts</c:v>
                </c:pt>
                <c:pt idx="16">
                  <c:v>Persecutor Parts</c:v>
                </c:pt>
                <c:pt idx="18">
                  <c:v>VALIDITY SCALES (% of Items 'Passed' Unless Noted)</c:v>
                </c:pt>
                <c:pt idx="19">
                  <c:v>Defensiveness / Minimization (Mean)</c:v>
                </c:pt>
                <c:pt idx="20">
                  <c:v>Defensiveness / Minimization</c:v>
                </c:pt>
                <c:pt idx="21">
                  <c:v>Rare Symptoms</c:v>
                </c:pt>
                <c:pt idx="22">
                  <c:v>Psychosis Screen</c:v>
                </c:pt>
                <c:pt idx="24">
                  <c:v>CHARACTEROLOGICAL SCALES (Mean Scores Unless Noted)</c:v>
                </c:pt>
                <c:pt idx="25">
                  <c:v>Attention-Seeking Behavior (% of Items 'Passed')</c:v>
                </c:pt>
                <c:pt idx="26">
                  <c:v>Factitious Behavior (% of Items 'Passed')</c:v>
                </c:pt>
                <c:pt idx="27">
                  <c:v>Manipulativeness</c:v>
                </c:pt>
                <c:pt idx="28">
                  <c:v>Interpersonal Intrusiveness</c:v>
                </c:pt>
                <c:pt idx="29">
                  <c:v>Identity Confusion</c:v>
                </c:pt>
                <c:pt idx="30">
                  <c:v>Emotional Suffering</c:v>
                </c:pt>
                <c:pt idx="31">
                  <c:v>Abandonment</c:v>
                </c:pt>
                <c:pt idx="33">
                  <c:v>FUNCTIONALITY/IMPAIRMENT SCALES (Mean Scores)</c:v>
                </c:pt>
                <c:pt idx="34">
                  <c:v>Critical Items Scale</c:v>
                </c:pt>
                <c:pt idx="35">
                  <c:v>Cognitive Distraction</c:v>
                </c:pt>
              </c:strCache>
            </c:strRef>
          </c:cat>
          <c:val>
            <c:numRef>
              <c:f>Calculations!$D$389:$D$425</c:f>
              <c:numCache>
                <c:formatCode>0.00</c:formatCode>
                <c:ptCount val="37"/>
                <c:pt idx="2">
                  <c:v>0</c:v>
                </c:pt>
                <c:pt idx="3">
                  <c:v>0</c:v>
                </c:pt>
                <c:pt idx="4">
                  <c:v>0</c:v>
                </c:pt>
                <c:pt idx="5">
                  <c:v>0</c:v>
                </c:pt>
                <c:pt idx="6">
                  <c:v>0</c:v>
                </c:pt>
                <c:pt idx="7">
                  <c:v>0</c:v>
                </c:pt>
                <c:pt idx="10">
                  <c:v>0</c:v>
                </c:pt>
                <c:pt idx="11">
                  <c:v>0</c:v>
                </c:pt>
                <c:pt idx="12">
                  <c:v>0</c:v>
                </c:pt>
                <c:pt idx="13">
                  <c:v>0</c:v>
                </c:pt>
                <c:pt idx="14">
                  <c:v>0</c:v>
                </c:pt>
                <c:pt idx="15">
                  <c:v>0</c:v>
                </c:pt>
                <c:pt idx="16">
                  <c:v>0</c:v>
                </c:pt>
                <c:pt idx="19">
                  <c:v>100</c:v>
                </c:pt>
                <c:pt idx="20">
                  <c:v>100</c:v>
                </c:pt>
                <c:pt idx="21">
                  <c:v>0</c:v>
                </c:pt>
                <c:pt idx="22">
                  <c:v>0</c:v>
                </c:pt>
                <c:pt idx="25">
                  <c:v>0</c:v>
                </c:pt>
                <c:pt idx="26">
                  <c:v>0</c:v>
                </c:pt>
                <c:pt idx="27">
                  <c:v>0</c:v>
                </c:pt>
                <c:pt idx="28">
                  <c:v>0</c:v>
                </c:pt>
                <c:pt idx="29">
                  <c:v>0</c:v>
                </c:pt>
                <c:pt idx="30">
                  <c:v>0</c:v>
                </c:pt>
                <c:pt idx="31">
                  <c:v>0</c:v>
                </c:pt>
                <c:pt idx="34">
                  <c:v>0</c:v>
                </c:pt>
                <c:pt idx="35">
                  <c:v>0</c:v>
                </c:pt>
              </c:numCache>
            </c:numRef>
          </c:val>
          <c:smooth val="0"/>
          <c:extLst>
            <c:ext xmlns:c16="http://schemas.microsoft.com/office/drawing/2014/chart" uri="{C3380CC4-5D6E-409C-BE32-E72D297353CC}">
              <c16:uniqueId val="{00000000-A41A-004C-BADB-1ABB19D77111}"/>
            </c:ext>
          </c:extLst>
        </c:ser>
        <c:dLbls>
          <c:showLegendKey val="0"/>
          <c:showVal val="0"/>
          <c:showCatName val="0"/>
          <c:showSerName val="0"/>
          <c:showPercent val="0"/>
          <c:showBubbleSize val="0"/>
        </c:dLbls>
        <c:marker val="1"/>
        <c:smooth val="0"/>
        <c:axId val="813878640"/>
        <c:axId val="813882800"/>
      </c:lineChart>
      <c:catAx>
        <c:axId val="81387864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nchor="ctr" anchorCtr="0"/>
          <a:lstStyle/>
          <a:p>
            <a:pPr>
              <a:defRPr sz="1100" b="0" i="0" u="none" strike="noStrike" baseline="0">
                <a:solidFill>
                  <a:srgbClr val="000000"/>
                </a:solidFill>
                <a:latin typeface="Arial"/>
                <a:ea typeface="Arial"/>
                <a:cs typeface="Arial"/>
              </a:defRPr>
            </a:pPr>
            <a:endParaRPr lang="en-US"/>
          </a:p>
        </c:txPr>
        <c:crossAx val="813882800"/>
        <c:crossesAt val="0"/>
        <c:auto val="0"/>
        <c:lblAlgn val="ctr"/>
        <c:lblOffset val="150"/>
        <c:tickLblSkip val="1"/>
        <c:tickMarkSkip val="1"/>
        <c:noMultiLvlLbl val="0"/>
      </c:catAx>
      <c:valAx>
        <c:axId val="813882800"/>
        <c:scaling>
          <c:orientation val="minMax"/>
          <c:max val="1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3878640"/>
        <c:crosses val="autoZero"/>
        <c:crossBetween val="between"/>
        <c:majorUnit val="10"/>
        <c:minorUnit val="10"/>
      </c:valAx>
      <c:spPr>
        <a:solidFill>
          <a:srgbClr val="C0C0C0"/>
        </a:solidFill>
        <a:ln w="12700">
          <a:solidFill>
            <a:srgbClr val="808080"/>
          </a:solidFill>
          <a:prstDash val="solid"/>
        </a:ln>
      </c:spPr>
    </c:plotArea>
    <c:legend>
      <c:legendPos val="r"/>
      <c:layout>
        <c:manualLayout>
          <c:xMode val="edge"/>
          <c:yMode val="edge"/>
          <c:x val="1.3205553997963653E-2"/>
          <c:y val="4.2495753571079577E-2"/>
          <c:w val="0.96196824190653374"/>
          <c:h val="2.69187482116552E-2"/>
        </c:manualLayout>
      </c:layout>
      <c:overlay val="0"/>
      <c:spPr>
        <a:solidFill>
          <a:srgbClr val="BFBFB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n-US"/>
    </a:p>
  </c:txPr>
  <c:printSettings>
    <c:headerFooter>
      <c:oddHeader>&amp;C&amp;"Arial,Bold"&amp;16The MID Report: Line Graphs
</c:oddHeader>
    </c:headerFooter>
    <c:pageMargins b="1" l="0.75" r="0.75" t="1" header="0.5" footer="0.5"/>
    <c:pageSetup orientation="portrait" blackAndWhite="1"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MID Factor Scales Graph</a:t>
            </a:r>
          </a:p>
        </c:rich>
      </c:tx>
      <c:layout>
        <c:manualLayout>
          <c:xMode val="edge"/>
          <c:yMode val="edge"/>
          <c:x val="0.34585690515806999"/>
          <c:y val="9.4715067396236498E-3"/>
        </c:manualLayout>
      </c:layout>
      <c:overlay val="0"/>
      <c:spPr>
        <a:noFill/>
        <a:ln w="25400">
          <a:noFill/>
        </a:ln>
      </c:spPr>
    </c:title>
    <c:autoTitleDeleted val="0"/>
    <c:plotArea>
      <c:layout>
        <c:manualLayout>
          <c:layoutTarget val="inner"/>
          <c:xMode val="edge"/>
          <c:yMode val="edge"/>
          <c:x val="0.10998701894832243"/>
          <c:y val="8.0611234465126302E-2"/>
          <c:w val="0.82062979024460547"/>
          <c:h val="0.46841307514483199"/>
        </c:manualLayout>
      </c:layout>
      <c:lineChart>
        <c:grouping val="standard"/>
        <c:varyColors val="0"/>
        <c:ser>
          <c:idx val="1"/>
          <c:order val="0"/>
          <c:tx>
            <c:strRef>
              <c:f>Calculations!$E$428</c:f>
              <c:strCache>
                <c:ptCount val="1"/>
                <c:pt idx="0">
                  <c:v>Nondissociative</c:v>
                </c:pt>
              </c:strCache>
            </c:strRef>
          </c:tx>
          <c:spPr>
            <a:ln w="12700" cmpd="sng">
              <a:solidFill>
                <a:srgbClr val="F20884"/>
              </a:solidFill>
              <a:prstDash val="solid"/>
            </a:ln>
          </c:spPr>
          <c:marker>
            <c:symbol val="square"/>
            <c:size val="6"/>
            <c:spPr>
              <a:solidFill>
                <a:srgbClr val="FF82D6"/>
              </a:solidFill>
              <a:ln>
                <a:solidFill>
                  <a:srgbClr val="F20884"/>
                </a:solidFill>
                <a:prstDash val="solid"/>
              </a:ln>
            </c:spPr>
          </c:marker>
          <c:cat>
            <c:strRef>
              <c:f>Calculations!$C$430:$C$441</c:f>
              <c:strCache>
                <c:ptCount val="12"/>
                <c:pt idx="0">
                  <c:v>Self-Confusion / Dissociation</c:v>
                </c:pt>
                <c:pt idx="1">
                  <c:v>Subjective Awareness of Alters</c:v>
                </c:pt>
                <c:pt idx="2">
                  <c:v>Persecutory Intrusions</c:v>
                </c:pt>
                <c:pt idx="3">
                  <c:v>Angry Intrusions</c:v>
                </c:pt>
                <c:pt idx="4">
                  <c:v>Flashbacks</c:v>
                </c:pt>
                <c:pt idx="5">
                  <c:v>Derealization / Depersonalization</c:v>
                </c:pt>
                <c:pt idx="6">
                  <c:v>Trance</c:v>
                </c:pt>
                <c:pt idx="7">
                  <c:v>Autobiographical Memory</c:v>
                </c:pt>
                <c:pt idx="8">
                  <c:v>Amnestic Disorientation</c:v>
                </c:pt>
                <c:pt idx="9">
                  <c:v>Distress about Memory</c:v>
                </c:pt>
                <c:pt idx="10">
                  <c:v>Amnesia</c:v>
                </c:pt>
                <c:pt idx="11">
                  <c:v>Body Symptoms</c:v>
                </c:pt>
              </c:strCache>
            </c:strRef>
          </c:cat>
          <c:val>
            <c:numRef>
              <c:f>Calculations!$E$430:$E$441</c:f>
              <c:numCache>
                <c:formatCode>0.00</c:formatCode>
                <c:ptCount val="12"/>
                <c:pt idx="0">
                  <c:v>12.79</c:v>
                </c:pt>
                <c:pt idx="1">
                  <c:v>4.53</c:v>
                </c:pt>
                <c:pt idx="2">
                  <c:v>4.49</c:v>
                </c:pt>
                <c:pt idx="3">
                  <c:v>5.88</c:v>
                </c:pt>
                <c:pt idx="4">
                  <c:v>8.5</c:v>
                </c:pt>
                <c:pt idx="5">
                  <c:v>4.3</c:v>
                </c:pt>
                <c:pt idx="6">
                  <c:v>4.05</c:v>
                </c:pt>
                <c:pt idx="7">
                  <c:v>18.91</c:v>
                </c:pt>
                <c:pt idx="8">
                  <c:v>13.23</c:v>
                </c:pt>
                <c:pt idx="9">
                  <c:v>12.32</c:v>
                </c:pt>
                <c:pt idx="10">
                  <c:v>2.79</c:v>
                </c:pt>
                <c:pt idx="11">
                  <c:v>1.99</c:v>
                </c:pt>
              </c:numCache>
            </c:numRef>
          </c:val>
          <c:smooth val="0"/>
          <c:extLst>
            <c:ext xmlns:c16="http://schemas.microsoft.com/office/drawing/2014/chart" uri="{C3380CC4-5D6E-409C-BE32-E72D297353CC}">
              <c16:uniqueId val="{00000001-FAAA-1B4D-80DE-31D3A5B830A7}"/>
            </c:ext>
          </c:extLst>
        </c:ser>
        <c:ser>
          <c:idx val="4"/>
          <c:order val="1"/>
          <c:tx>
            <c:strRef>
              <c:f>Calculations!$H$428</c:f>
              <c:strCache>
                <c:ptCount val="1"/>
                <c:pt idx="0">
                  <c:v>PTSD</c:v>
                </c:pt>
              </c:strCache>
            </c:strRef>
          </c:tx>
          <c:spPr>
            <a:ln w="12700" cmpd="sng">
              <a:solidFill>
                <a:srgbClr val="7030A0"/>
              </a:solidFill>
              <a:prstDash val="solid"/>
            </a:ln>
          </c:spPr>
          <c:marker>
            <c:symbol val="star"/>
            <c:size val="6"/>
            <c:spPr>
              <a:noFill/>
              <a:ln w="15875">
                <a:solidFill>
                  <a:srgbClr val="7030A0"/>
                </a:solidFill>
                <a:prstDash val="solid"/>
              </a:ln>
            </c:spPr>
          </c:marker>
          <c:cat>
            <c:strRef>
              <c:f>Calculations!$C$430:$C$441</c:f>
              <c:strCache>
                <c:ptCount val="12"/>
                <c:pt idx="0">
                  <c:v>Self-Confusion / Dissociation</c:v>
                </c:pt>
                <c:pt idx="1">
                  <c:v>Subjective Awareness of Alters</c:v>
                </c:pt>
                <c:pt idx="2">
                  <c:v>Persecutory Intrusions</c:v>
                </c:pt>
                <c:pt idx="3">
                  <c:v>Angry Intrusions</c:v>
                </c:pt>
                <c:pt idx="4">
                  <c:v>Flashbacks</c:v>
                </c:pt>
                <c:pt idx="5">
                  <c:v>Derealization / Depersonalization</c:v>
                </c:pt>
                <c:pt idx="6">
                  <c:v>Trance</c:v>
                </c:pt>
                <c:pt idx="7">
                  <c:v>Autobiographical Memory</c:v>
                </c:pt>
                <c:pt idx="8">
                  <c:v>Amnestic Disorientation</c:v>
                </c:pt>
                <c:pt idx="9">
                  <c:v>Distress about Memory</c:v>
                </c:pt>
                <c:pt idx="10">
                  <c:v>Amnesia</c:v>
                </c:pt>
                <c:pt idx="11">
                  <c:v>Body Symptoms</c:v>
                </c:pt>
              </c:strCache>
            </c:strRef>
          </c:cat>
          <c:val>
            <c:numRef>
              <c:f>Calculations!$H$430:$H$441</c:f>
              <c:numCache>
                <c:formatCode>0.00</c:formatCode>
                <c:ptCount val="12"/>
                <c:pt idx="0">
                  <c:v>19.829999999999998</c:v>
                </c:pt>
                <c:pt idx="1">
                  <c:v>5.36</c:v>
                </c:pt>
                <c:pt idx="2">
                  <c:v>5.32</c:v>
                </c:pt>
                <c:pt idx="3">
                  <c:v>6.03</c:v>
                </c:pt>
                <c:pt idx="4">
                  <c:v>23.04</c:v>
                </c:pt>
                <c:pt idx="5">
                  <c:v>4.91</c:v>
                </c:pt>
                <c:pt idx="6">
                  <c:v>11.73</c:v>
                </c:pt>
                <c:pt idx="7">
                  <c:v>30.36</c:v>
                </c:pt>
                <c:pt idx="8">
                  <c:v>17.68</c:v>
                </c:pt>
                <c:pt idx="9">
                  <c:v>19.39</c:v>
                </c:pt>
                <c:pt idx="10">
                  <c:v>3.57</c:v>
                </c:pt>
                <c:pt idx="11">
                  <c:v>3.06</c:v>
                </c:pt>
              </c:numCache>
            </c:numRef>
          </c:val>
          <c:smooth val="0"/>
          <c:extLst>
            <c:ext xmlns:c16="http://schemas.microsoft.com/office/drawing/2014/chart" uri="{C3380CC4-5D6E-409C-BE32-E72D297353CC}">
              <c16:uniqueId val="{00000004-FAAA-1B4D-80DE-31D3A5B830A7}"/>
            </c:ext>
          </c:extLst>
        </c:ser>
        <c:ser>
          <c:idx val="3"/>
          <c:order val="2"/>
          <c:tx>
            <c:strRef>
              <c:f>Calculations!$G$428</c:f>
              <c:strCache>
                <c:ptCount val="1"/>
                <c:pt idx="0">
                  <c:v>OSDD, Type 1a</c:v>
                </c:pt>
              </c:strCache>
            </c:strRef>
          </c:tx>
          <c:spPr>
            <a:ln w="12700" cmpd="sng">
              <a:solidFill>
                <a:schemeClr val="accent5">
                  <a:lumMod val="75000"/>
                </a:schemeClr>
              </a:solidFill>
              <a:prstDash val="solid"/>
            </a:ln>
          </c:spPr>
          <c:marker>
            <c:symbol val="circle"/>
            <c:size val="6"/>
            <c:spPr>
              <a:solidFill>
                <a:schemeClr val="accent5"/>
              </a:solidFill>
              <a:ln>
                <a:solidFill>
                  <a:schemeClr val="accent5">
                    <a:lumMod val="50000"/>
                  </a:schemeClr>
                </a:solidFill>
                <a:prstDash val="solid"/>
              </a:ln>
            </c:spPr>
          </c:marker>
          <c:cat>
            <c:strRef>
              <c:f>Calculations!$C$430:$C$441</c:f>
              <c:strCache>
                <c:ptCount val="12"/>
                <c:pt idx="0">
                  <c:v>Self-Confusion / Dissociation</c:v>
                </c:pt>
                <c:pt idx="1">
                  <c:v>Subjective Awareness of Alters</c:v>
                </c:pt>
                <c:pt idx="2">
                  <c:v>Persecutory Intrusions</c:v>
                </c:pt>
                <c:pt idx="3">
                  <c:v>Angry Intrusions</c:v>
                </c:pt>
                <c:pt idx="4">
                  <c:v>Flashbacks</c:v>
                </c:pt>
                <c:pt idx="5">
                  <c:v>Derealization / Depersonalization</c:v>
                </c:pt>
                <c:pt idx="6">
                  <c:v>Trance</c:v>
                </c:pt>
                <c:pt idx="7">
                  <c:v>Autobiographical Memory</c:v>
                </c:pt>
                <c:pt idx="8">
                  <c:v>Amnestic Disorientation</c:v>
                </c:pt>
                <c:pt idx="9">
                  <c:v>Distress about Memory</c:v>
                </c:pt>
                <c:pt idx="10">
                  <c:v>Amnesia</c:v>
                </c:pt>
                <c:pt idx="11">
                  <c:v>Body Symptoms</c:v>
                </c:pt>
              </c:strCache>
            </c:strRef>
          </c:cat>
          <c:val>
            <c:numRef>
              <c:f>Calculations!$G$430:$G$441</c:f>
              <c:numCache>
                <c:formatCode>0.00</c:formatCode>
                <c:ptCount val="12"/>
                <c:pt idx="0">
                  <c:v>40.76</c:v>
                </c:pt>
                <c:pt idx="1">
                  <c:v>33.22</c:v>
                </c:pt>
                <c:pt idx="2">
                  <c:v>37.54</c:v>
                </c:pt>
                <c:pt idx="3">
                  <c:v>23.48</c:v>
                </c:pt>
                <c:pt idx="4">
                  <c:v>32.99</c:v>
                </c:pt>
                <c:pt idx="5">
                  <c:v>24.72</c:v>
                </c:pt>
                <c:pt idx="6">
                  <c:v>20.63</c:v>
                </c:pt>
                <c:pt idx="7">
                  <c:v>51.42</c:v>
                </c:pt>
                <c:pt idx="8">
                  <c:v>30.52</c:v>
                </c:pt>
                <c:pt idx="9">
                  <c:v>25.68</c:v>
                </c:pt>
                <c:pt idx="10">
                  <c:v>5.7</c:v>
                </c:pt>
                <c:pt idx="11">
                  <c:v>8.73</c:v>
                </c:pt>
              </c:numCache>
            </c:numRef>
          </c:val>
          <c:smooth val="0"/>
          <c:extLst>
            <c:ext xmlns:c16="http://schemas.microsoft.com/office/drawing/2014/chart" uri="{C3380CC4-5D6E-409C-BE32-E72D297353CC}">
              <c16:uniqueId val="{00000003-FAAA-1B4D-80DE-31D3A5B830A7}"/>
            </c:ext>
          </c:extLst>
        </c:ser>
        <c:ser>
          <c:idx val="2"/>
          <c:order val="3"/>
          <c:tx>
            <c:strRef>
              <c:f>Calculations!$F$428</c:f>
              <c:strCache>
                <c:ptCount val="1"/>
                <c:pt idx="0">
                  <c:v>DID</c:v>
                </c:pt>
              </c:strCache>
            </c:strRef>
          </c:tx>
          <c:spPr>
            <a:ln w="12700" cmpd="sng">
              <a:solidFill>
                <a:srgbClr val="FCF305"/>
              </a:solidFill>
              <a:prstDash val="solid"/>
            </a:ln>
          </c:spPr>
          <c:marker>
            <c:symbol val="triangle"/>
            <c:size val="6"/>
            <c:spPr>
              <a:solidFill>
                <a:srgbClr val="FCF305"/>
              </a:solidFill>
              <a:ln>
                <a:solidFill>
                  <a:schemeClr val="tx1">
                    <a:lumMod val="65000"/>
                    <a:lumOff val="35000"/>
                  </a:schemeClr>
                </a:solidFill>
                <a:prstDash val="solid"/>
              </a:ln>
            </c:spPr>
          </c:marker>
          <c:cat>
            <c:strRef>
              <c:f>Calculations!$C$430:$C$441</c:f>
              <c:strCache>
                <c:ptCount val="12"/>
                <c:pt idx="0">
                  <c:v>Self-Confusion / Dissociation</c:v>
                </c:pt>
                <c:pt idx="1">
                  <c:v>Subjective Awareness of Alters</c:v>
                </c:pt>
                <c:pt idx="2">
                  <c:v>Persecutory Intrusions</c:v>
                </c:pt>
                <c:pt idx="3">
                  <c:v>Angry Intrusions</c:v>
                </c:pt>
                <c:pt idx="4">
                  <c:v>Flashbacks</c:v>
                </c:pt>
                <c:pt idx="5">
                  <c:v>Derealization / Depersonalization</c:v>
                </c:pt>
                <c:pt idx="6">
                  <c:v>Trance</c:v>
                </c:pt>
                <c:pt idx="7">
                  <c:v>Autobiographical Memory</c:v>
                </c:pt>
                <c:pt idx="8">
                  <c:v>Amnestic Disorientation</c:v>
                </c:pt>
                <c:pt idx="9">
                  <c:v>Distress about Memory</c:v>
                </c:pt>
                <c:pt idx="10">
                  <c:v>Amnesia</c:v>
                </c:pt>
                <c:pt idx="11">
                  <c:v>Body Symptoms</c:v>
                </c:pt>
              </c:strCache>
            </c:strRef>
          </c:cat>
          <c:val>
            <c:numRef>
              <c:f>Calculations!$F$430:$F$441</c:f>
              <c:numCache>
                <c:formatCode>0.00</c:formatCode>
                <c:ptCount val="12"/>
                <c:pt idx="0">
                  <c:v>63.43</c:v>
                </c:pt>
                <c:pt idx="1">
                  <c:v>59.88</c:v>
                </c:pt>
                <c:pt idx="2">
                  <c:v>57.64</c:v>
                </c:pt>
                <c:pt idx="3">
                  <c:v>55.21</c:v>
                </c:pt>
                <c:pt idx="4">
                  <c:v>54.17</c:v>
                </c:pt>
                <c:pt idx="5">
                  <c:v>44.75</c:v>
                </c:pt>
                <c:pt idx="6">
                  <c:v>42.01</c:v>
                </c:pt>
                <c:pt idx="7">
                  <c:v>66.41</c:v>
                </c:pt>
                <c:pt idx="8">
                  <c:v>59.22</c:v>
                </c:pt>
                <c:pt idx="9">
                  <c:v>57.06</c:v>
                </c:pt>
                <c:pt idx="10">
                  <c:v>40.51</c:v>
                </c:pt>
                <c:pt idx="11">
                  <c:v>22.72</c:v>
                </c:pt>
              </c:numCache>
            </c:numRef>
          </c:val>
          <c:smooth val="0"/>
          <c:extLst>
            <c:ext xmlns:c16="http://schemas.microsoft.com/office/drawing/2014/chart" uri="{C3380CC4-5D6E-409C-BE32-E72D297353CC}">
              <c16:uniqueId val="{00000002-FAAA-1B4D-80DE-31D3A5B830A7}"/>
            </c:ext>
          </c:extLst>
        </c:ser>
        <c:ser>
          <c:idx val="0"/>
          <c:order val="4"/>
          <c:tx>
            <c:strRef>
              <c:f>Calculations!$D$428</c:f>
              <c:strCache>
                <c:ptCount val="1"/>
                <c:pt idx="0">
                  <c:v>Test-taker</c:v>
                </c:pt>
              </c:strCache>
            </c:strRef>
          </c:tx>
          <c:spPr>
            <a:ln w="12700" cmpd="sng">
              <a:solidFill>
                <a:srgbClr val="0432FF"/>
              </a:solidFill>
              <a:prstDash val="solid"/>
            </a:ln>
          </c:spPr>
          <c:marker>
            <c:symbol val="diamond"/>
            <c:size val="7"/>
            <c:spPr>
              <a:solidFill>
                <a:srgbClr val="0432FF"/>
              </a:solidFill>
              <a:ln>
                <a:solidFill>
                  <a:srgbClr val="0432FF"/>
                </a:solidFill>
                <a:prstDash val="solid"/>
              </a:ln>
            </c:spPr>
          </c:marker>
          <c:cat>
            <c:strRef>
              <c:f>Calculations!$C$430:$C$441</c:f>
              <c:strCache>
                <c:ptCount val="12"/>
                <c:pt idx="0">
                  <c:v>Self-Confusion / Dissociation</c:v>
                </c:pt>
                <c:pt idx="1">
                  <c:v>Subjective Awareness of Alters</c:v>
                </c:pt>
                <c:pt idx="2">
                  <c:v>Persecutory Intrusions</c:v>
                </c:pt>
                <c:pt idx="3">
                  <c:v>Angry Intrusions</c:v>
                </c:pt>
                <c:pt idx="4">
                  <c:v>Flashbacks</c:v>
                </c:pt>
                <c:pt idx="5">
                  <c:v>Derealization / Depersonalization</c:v>
                </c:pt>
                <c:pt idx="6">
                  <c:v>Trance</c:v>
                </c:pt>
                <c:pt idx="7">
                  <c:v>Autobiographical Memory</c:v>
                </c:pt>
                <c:pt idx="8">
                  <c:v>Amnestic Disorientation</c:v>
                </c:pt>
                <c:pt idx="9">
                  <c:v>Distress about Memory</c:v>
                </c:pt>
                <c:pt idx="10">
                  <c:v>Amnesia</c:v>
                </c:pt>
                <c:pt idx="11">
                  <c:v>Body Symptoms</c:v>
                </c:pt>
              </c:strCache>
            </c:strRef>
          </c:cat>
          <c:val>
            <c:numRef>
              <c:f>Calculations!$D$430:$D$441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FAAA-1B4D-80DE-31D3A5B830A7}"/>
            </c:ext>
          </c:extLst>
        </c:ser>
        <c:dLbls>
          <c:showLegendKey val="0"/>
          <c:showVal val="0"/>
          <c:showCatName val="0"/>
          <c:showSerName val="0"/>
          <c:showPercent val="0"/>
          <c:showBubbleSize val="0"/>
        </c:dLbls>
        <c:marker val="1"/>
        <c:smooth val="0"/>
        <c:axId val="818515600"/>
        <c:axId val="818520032"/>
      </c:lineChart>
      <c:catAx>
        <c:axId val="818515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818520032"/>
        <c:crosses val="autoZero"/>
        <c:auto val="1"/>
        <c:lblAlgn val="ctr"/>
        <c:lblOffset val="100"/>
        <c:tickLblSkip val="1"/>
        <c:tickMarkSkip val="1"/>
        <c:noMultiLvlLbl val="0"/>
      </c:catAx>
      <c:valAx>
        <c:axId val="818520032"/>
        <c:scaling>
          <c:orientation val="minMax"/>
          <c:max val="1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8515600"/>
        <c:crosses val="autoZero"/>
        <c:crossBetween val="between"/>
      </c:valAx>
      <c:spPr>
        <a:solidFill>
          <a:srgbClr val="C0C0C0"/>
        </a:solidFill>
        <a:ln w="12700">
          <a:solidFill>
            <a:srgbClr val="808080"/>
          </a:solidFill>
          <a:prstDash val="solid"/>
        </a:ln>
      </c:spPr>
    </c:plotArea>
    <c:legend>
      <c:legendPos val="r"/>
      <c:layout>
        <c:manualLayout>
          <c:xMode val="edge"/>
          <c:yMode val="edge"/>
          <c:x val="5.8432582635149589E-2"/>
          <c:y val="4.0777357507761992E-2"/>
          <c:w val="0.87314855817731596"/>
          <c:h val="2.6076440575306201E-2"/>
        </c:manualLayout>
      </c:layout>
      <c:overlay val="0"/>
      <c:spPr>
        <a:solidFill>
          <a:srgbClr val="BFBFB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sz="1430"/>
              <a:t>MID BPD-DID</a:t>
            </a:r>
            <a:r>
              <a:rPr lang="en-US" sz="1430" baseline="0"/>
              <a:t> Mean Score Comparison</a:t>
            </a:r>
            <a:r>
              <a:rPr lang="en-US" sz="1430"/>
              <a:t> Graph</a:t>
            </a:r>
          </a:p>
        </c:rich>
      </c:tx>
      <c:layout>
        <c:manualLayout>
          <c:xMode val="edge"/>
          <c:yMode val="edge"/>
          <c:x val="0.23235970639084996"/>
          <c:y val="9.4714906798596885E-3"/>
        </c:manualLayout>
      </c:layout>
      <c:overlay val="0"/>
      <c:spPr>
        <a:noFill/>
        <a:ln w="25400">
          <a:noFill/>
        </a:ln>
      </c:spPr>
    </c:title>
    <c:autoTitleDeleted val="0"/>
    <c:plotArea>
      <c:layout>
        <c:manualLayout>
          <c:layoutTarget val="inner"/>
          <c:xMode val="edge"/>
          <c:yMode val="edge"/>
          <c:x val="0.10998702949152984"/>
          <c:y val="0.11366209654331901"/>
          <c:w val="0.82062979024460547"/>
          <c:h val="0.39610377219695819"/>
        </c:manualLayout>
      </c:layout>
      <c:lineChart>
        <c:grouping val="standard"/>
        <c:varyColors val="0"/>
        <c:ser>
          <c:idx val="2"/>
          <c:order val="0"/>
          <c:tx>
            <c:strRef>
              <c:f>Calculations!$F$445</c:f>
              <c:strCache>
                <c:ptCount val="1"/>
                <c:pt idx="0">
                  <c:v>BPD</c:v>
                </c:pt>
              </c:strCache>
            </c:strRef>
          </c:tx>
          <c:spPr>
            <a:ln w="12700" cmpd="sng">
              <a:solidFill>
                <a:schemeClr val="accent6">
                  <a:lumMod val="50000"/>
                </a:schemeClr>
              </a:solidFill>
              <a:prstDash val="solid"/>
            </a:ln>
          </c:spPr>
          <c:marker>
            <c:symbol val="x"/>
            <c:size val="6"/>
            <c:spPr>
              <a:noFill/>
              <a:ln w="15875">
                <a:solidFill>
                  <a:schemeClr val="accent6">
                    <a:lumMod val="50000"/>
                  </a:schemeClr>
                </a:solidFill>
                <a:prstDash val="solid"/>
              </a:ln>
            </c:spPr>
          </c:marker>
          <c:cat>
            <c:strRef>
              <c:f>Calculations!$C$451:$C$472</c:f>
              <c:strCache>
                <c:ptCount val="22"/>
                <c:pt idx="0">
                  <c:v>DISSOCIATION SCALES</c:v>
                </c:pt>
                <c:pt idx="1">
                  <c:v>Memory Problems</c:v>
                </c:pt>
                <c:pt idx="2">
                  <c:v>Depersonalization</c:v>
                </c:pt>
                <c:pt idx="3">
                  <c:v>Derealization</c:v>
                </c:pt>
                <c:pt idx="4">
                  <c:v>Flashbacks</c:v>
                </c:pt>
                <c:pt idx="5">
                  <c:v>Somatoform Symptoms</c:v>
                </c:pt>
                <c:pt idx="6">
                  <c:v>Trance</c:v>
                </c:pt>
                <c:pt idx="7">
                  <c:v>Identity Confusion</c:v>
                </c:pt>
                <c:pt idx="8">
                  <c:v>Voices</c:v>
                </c:pt>
                <c:pt idx="9">
                  <c:v>Ego-Alien Experiences</c:v>
                </c:pt>
                <c:pt idx="10">
                  <c:v>Experiences of Self-Alteration</c:v>
                </c:pt>
                <c:pt idx="11">
                  <c:v>Self-States and Alters</c:v>
                </c:pt>
                <c:pt idx="12">
                  <c:v>Discontinuities of Time (Time Gaps)</c:v>
                </c:pt>
                <c:pt idx="13">
                  <c:v>Disremembered / Discovered Behavior</c:v>
                </c:pt>
                <c:pt idx="15">
                  <c:v>VALIDITY &amp; CHARACTEROLOGICAL SCALES</c:v>
                </c:pt>
                <c:pt idx="16">
                  <c:v>Defensiveness / Minimization</c:v>
                </c:pt>
                <c:pt idx="17">
                  <c:v>Rare Symptoms</c:v>
                </c:pt>
                <c:pt idx="18">
                  <c:v>Emotional Suffering</c:v>
                </c:pt>
                <c:pt idx="19">
                  <c:v>Attention-Seeking Behavior</c:v>
                </c:pt>
                <c:pt idx="20">
                  <c:v>Factitious Behavior</c:v>
                </c:pt>
                <c:pt idx="21">
                  <c:v>Psychosis Screen</c:v>
                </c:pt>
              </c:strCache>
            </c:strRef>
          </c:cat>
          <c:val>
            <c:numRef>
              <c:f>Calculations!$F$451:$F$472</c:f>
              <c:numCache>
                <c:formatCode>General</c:formatCode>
                <c:ptCount val="22"/>
                <c:pt idx="1">
                  <c:v>42.9</c:v>
                </c:pt>
                <c:pt idx="2">
                  <c:v>26.7</c:v>
                </c:pt>
                <c:pt idx="3">
                  <c:v>30.3</c:v>
                </c:pt>
                <c:pt idx="4">
                  <c:v>46</c:v>
                </c:pt>
                <c:pt idx="5">
                  <c:v>16.3</c:v>
                </c:pt>
                <c:pt idx="6">
                  <c:v>31.4</c:v>
                </c:pt>
                <c:pt idx="7">
                  <c:v>46.6</c:v>
                </c:pt>
                <c:pt idx="8">
                  <c:v>27.2</c:v>
                </c:pt>
                <c:pt idx="9">
                  <c:v>37.5</c:v>
                </c:pt>
                <c:pt idx="10">
                  <c:v>24.6</c:v>
                </c:pt>
                <c:pt idx="11">
                  <c:v>22.6</c:v>
                </c:pt>
                <c:pt idx="12">
                  <c:v>26.4</c:v>
                </c:pt>
                <c:pt idx="13">
                  <c:v>22.8</c:v>
                </c:pt>
                <c:pt idx="16">
                  <c:v>41.8</c:v>
                </c:pt>
                <c:pt idx="17">
                  <c:v>10.6</c:v>
                </c:pt>
                <c:pt idx="18">
                  <c:v>62.1</c:v>
                </c:pt>
                <c:pt idx="19">
                  <c:v>38.299999999999997</c:v>
                </c:pt>
                <c:pt idx="20">
                  <c:v>21.2</c:v>
                </c:pt>
                <c:pt idx="21">
                  <c:v>11.1</c:v>
                </c:pt>
              </c:numCache>
            </c:numRef>
          </c:val>
          <c:smooth val="0"/>
          <c:extLst>
            <c:ext xmlns:c16="http://schemas.microsoft.com/office/drawing/2014/chart" uri="{C3380CC4-5D6E-409C-BE32-E72D297353CC}">
              <c16:uniqueId val="{00000002-E1FF-DA4C-A5ED-8C7131CE9C3A}"/>
            </c:ext>
          </c:extLst>
        </c:ser>
        <c:ser>
          <c:idx val="1"/>
          <c:order val="1"/>
          <c:tx>
            <c:strRef>
              <c:f>Calculations!$E$445</c:f>
              <c:strCache>
                <c:ptCount val="1"/>
                <c:pt idx="0">
                  <c:v>DID</c:v>
                </c:pt>
              </c:strCache>
            </c:strRef>
          </c:tx>
          <c:spPr>
            <a:ln w="12700" cmpd="sng">
              <a:solidFill>
                <a:srgbClr val="FFFF00"/>
              </a:solidFill>
              <a:prstDash val="solid"/>
            </a:ln>
          </c:spPr>
          <c:marker>
            <c:symbol val="triangle"/>
            <c:size val="6"/>
            <c:spPr>
              <a:solidFill>
                <a:srgbClr val="FFFD78"/>
              </a:solidFill>
              <a:ln>
                <a:solidFill>
                  <a:schemeClr val="tx1"/>
                </a:solidFill>
                <a:prstDash val="solid"/>
              </a:ln>
            </c:spPr>
          </c:marker>
          <c:cat>
            <c:strRef>
              <c:f>Calculations!$C$451:$C$472</c:f>
              <c:strCache>
                <c:ptCount val="22"/>
                <c:pt idx="0">
                  <c:v>DISSOCIATION SCALES</c:v>
                </c:pt>
                <c:pt idx="1">
                  <c:v>Memory Problems</c:v>
                </c:pt>
                <c:pt idx="2">
                  <c:v>Depersonalization</c:v>
                </c:pt>
                <c:pt idx="3">
                  <c:v>Derealization</c:v>
                </c:pt>
                <c:pt idx="4">
                  <c:v>Flashbacks</c:v>
                </c:pt>
                <c:pt idx="5">
                  <c:v>Somatoform Symptoms</c:v>
                </c:pt>
                <c:pt idx="6">
                  <c:v>Trance</c:v>
                </c:pt>
                <c:pt idx="7">
                  <c:v>Identity Confusion</c:v>
                </c:pt>
                <c:pt idx="8">
                  <c:v>Voices</c:v>
                </c:pt>
                <c:pt idx="9">
                  <c:v>Ego-Alien Experiences</c:v>
                </c:pt>
                <c:pt idx="10">
                  <c:v>Experiences of Self-Alteration</c:v>
                </c:pt>
                <c:pt idx="11">
                  <c:v>Self-States and Alters</c:v>
                </c:pt>
                <c:pt idx="12">
                  <c:v>Discontinuities of Time (Time Gaps)</c:v>
                </c:pt>
                <c:pt idx="13">
                  <c:v>Disremembered / Discovered Behavior</c:v>
                </c:pt>
                <c:pt idx="15">
                  <c:v>VALIDITY &amp; CHARACTEROLOGICAL SCALES</c:v>
                </c:pt>
                <c:pt idx="16">
                  <c:v>Defensiveness / Minimization</c:v>
                </c:pt>
                <c:pt idx="17">
                  <c:v>Rare Symptoms</c:v>
                </c:pt>
                <c:pt idx="18">
                  <c:v>Emotional Suffering</c:v>
                </c:pt>
                <c:pt idx="19">
                  <c:v>Attention-Seeking Behavior</c:v>
                </c:pt>
                <c:pt idx="20">
                  <c:v>Factitious Behavior</c:v>
                </c:pt>
                <c:pt idx="21">
                  <c:v>Psychosis Screen</c:v>
                </c:pt>
              </c:strCache>
            </c:strRef>
          </c:cat>
          <c:val>
            <c:numRef>
              <c:f>Calculations!$E$451:$E$472</c:f>
              <c:numCache>
                <c:formatCode>General</c:formatCode>
                <c:ptCount val="22"/>
                <c:pt idx="1">
                  <c:v>62.7</c:v>
                </c:pt>
                <c:pt idx="2">
                  <c:v>52.7</c:v>
                </c:pt>
                <c:pt idx="3">
                  <c:v>47.3</c:v>
                </c:pt>
                <c:pt idx="4">
                  <c:v>54.6</c:v>
                </c:pt>
                <c:pt idx="5">
                  <c:v>22.7</c:v>
                </c:pt>
                <c:pt idx="6">
                  <c:v>49.6</c:v>
                </c:pt>
                <c:pt idx="7">
                  <c:v>70.400000000000006</c:v>
                </c:pt>
                <c:pt idx="8">
                  <c:v>55.6</c:v>
                </c:pt>
                <c:pt idx="9">
                  <c:v>57.9</c:v>
                </c:pt>
                <c:pt idx="10">
                  <c:v>49.5</c:v>
                </c:pt>
                <c:pt idx="11">
                  <c:v>65.400000000000006</c:v>
                </c:pt>
                <c:pt idx="12">
                  <c:v>46.4</c:v>
                </c:pt>
                <c:pt idx="13">
                  <c:v>39</c:v>
                </c:pt>
                <c:pt idx="16">
                  <c:v>35.6</c:v>
                </c:pt>
                <c:pt idx="17">
                  <c:v>4</c:v>
                </c:pt>
                <c:pt idx="18">
                  <c:v>54.4</c:v>
                </c:pt>
                <c:pt idx="19">
                  <c:v>20.5</c:v>
                </c:pt>
                <c:pt idx="20">
                  <c:v>5.8</c:v>
                </c:pt>
                <c:pt idx="21">
                  <c:v>4.3</c:v>
                </c:pt>
              </c:numCache>
            </c:numRef>
          </c:val>
          <c:smooth val="0"/>
          <c:extLst>
            <c:ext xmlns:c16="http://schemas.microsoft.com/office/drawing/2014/chart" uri="{C3380CC4-5D6E-409C-BE32-E72D297353CC}">
              <c16:uniqueId val="{00000001-E1FF-DA4C-A5ED-8C7131CE9C3A}"/>
            </c:ext>
          </c:extLst>
        </c:ser>
        <c:ser>
          <c:idx val="0"/>
          <c:order val="2"/>
          <c:tx>
            <c:strRef>
              <c:f>Calculations!$D$445</c:f>
              <c:strCache>
                <c:ptCount val="1"/>
                <c:pt idx="0">
                  <c:v>Test-taker</c:v>
                </c:pt>
              </c:strCache>
            </c:strRef>
          </c:tx>
          <c:spPr>
            <a:ln w="12700" cmpd="sng">
              <a:solidFill>
                <a:srgbClr val="0432FF"/>
              </a:solidFill>
              <a:prstDash val="solid"/>
            </a:ln>
          </c:spPr>
          <c:marker>
            <c:symbol val="diamond"/>
            <c:size val="7"/>
            <c:spPr>
              <a:solidFill>
                <a:srgbClr val="0432FF"/>
              </a:solidFill>
              <a:ln>
                <a:solidFill>
                  <a:srgbClr val="0432FF"/>
                </a:solidFill>
                <a:prstDash val="solid"/>
              </a:ln>
            </c:spPr>
          </c:marker>
          <c:dPt>
            <c:idx val="7"/>
            <c:bubble3D val="0"/>
            <c:extLst>
              <c:ext xmlns:c16="http://schemas.microsoft.com/office/drawing/2014/chart" uri="{C3380CC4-5D6E-409C-BE32-E72D297353CC}">
                <c16:uniqueId val="{00000000-2464-B743-AECE-D9544908F1FE}"/>
              </c:ext>
            </c:extLst>
          </c:dPt>
          <c:cat>
            <c:strRef>
              <c:f>Calculations!$C$451:$C$472</c:f>
              <c:strCache>
                <c:ptCount val="22"/>
                <c:pt idx="0">
                  <c:v>DISSOCIATION SCALES</c:v>
                </c:pt>
                <c:pt idx="1">
                  <c:v>Memory Problems</c:v>
                </c:pt>
                <c:pt idx="2">
                  <c:v>Depersonalization</c:v>
                </c:pt>
                <c:pt idx="3">
                  <c:v>Derealization</c:v>
                </c:pt>
                <c:pt idx="4">
                  <c:v>Flashbacks</c:v>
                </c:pt>
                <c:pt idx="5">
                  <c:v>Somatoform Symptoms</c:v>
                </c:pt>
                <c:pt idx="6">
                  <c:v>Trance</c:v>
                </c:pt>
                <c:pt idx="7">
                  <c:v>Identity Confusion</c:v>
                </c:pt>
                <c:pt idx="8">
                  <c:v>Voices</c:v>
                </c:pt>
                <c:pt idx="9">
                  <c:v>Ego-Alien Experiences</c:v>
                </c:pt>
                <c:pt idx="10">
                  <c:v>Experiences of Self-Alteration</c:v>
                </c:pt>
                <c:pt idx="11">
                  <c:v>Self-States and Alters</c:v>
                </c:pt>
                <c:pt idx="12">
                  <c:v>Discontinuities of Time (Time Gaps)</c:v>
                </c:pt>
                <c:pt idx="13">
                  <c:v>Disremembered / Discovered Behavior</c:v>
                </c:pt>
                <c:pt idx="15">
                  <c:v>VALIDITY &amp; CHARACTEROLOGICAL SCALES</c:v>
                </c:pt>
                <c:pt idx="16">
                  <c:v>Defensiveness / Minimization</c:v>
                </c:pt>
                <c:pt idx="17">
                  <c:v>Rare Symptoms</c:v>
                </c:pt>
                <c:pt idx="18">
                  <c:v>Emotional Suffering</c:v>
                </c:pt>
                <c:pt idx="19">
                  <c:v>Attention-Seeking Behavior</c:v>
                </c:pt>
                <c:pt idx="20">
                  <c:v>Factitious Behavior</c:v>
                </c:pt>
                <c:pt idx="21">
                  <c:v>Psychosis Screen</c:v>
                </c:pt>
              </c:strCache>
            </c:strRef>
          </c:cat>
          <c:val>
            <c:numRef>
              <c:f>Calculations!$D$451:$D$472</c:f>
              <c:numCache>
                <c:formatCode>0.00</c:formatCode>
                <c:ptCount val="22"/>
                <c:pt idx="1">
                  <c:v>0</c:v>
                </c:pt>
                <c:pt idx="2">
                  <c:v>0</c:v>
                </c:pt>
                <c:pt idx="3">
                  <c:v>0</c:v>
                </c:pt>
                <c:pt idx="4">
                  <c:v>0</c:v>
                </c:pt>
                <c:pt idx="5">
                  <c:v>0</c:v>
                </c:pt>
                <c:pt idx="6">
                  <c:v>0</c:v>
                </c:pt>
                <c:pt idx="7">
                  <c:v>0</c:v>
                </c:pt>
                <c:pt idx="8">
                  <c:v>0</c:v>
                </c:pt>
                <c:pt idx="9">
                  <c:v>0</c:v>
                </c:pt>
                <c:pt idx="10">
                  <c:v>0</c:v>
                </c:pt>
                <c:pt idx="11">
                  <c:v>0</c:v>
                </c:pt>
                <c:pt idx="12">
                  <c:v>0</c:v>
                </c:pt>
                <c:pt idx="13">
                  <c:v>0</c:v>
                </c:pt>
                <c:pt idx="16">
                  <c:v>100</c:v>
                </c:pt>
                <c:pt idx="17">
                  <c:v>0</c:v>
                </c:pt>
                <c:pt idx="18">
                  <c:v>0</c:v>
                </c:pt>
                <c:pt idx="19">
                  <c:v>0</c:v>
                </c:pt>
                <c:pt idx="20">
                  <c:v>0</c:v>
                </c:pt>
                <c:pt idx="21">
                  <c:v>0</c:v>
                </c:pt>
              </c:numCache>
            </c:numRef>
          </c:val>
          <c:smooth val="0"/>
          <c:extLst>
            <c:ext xmlns:c16="http://schemas.microsoft.com/office/drawing/2014/chart" uri="{C3380CC4-5D6E-409C-BE32-E72D297353CC}">
              <c16:uniqueId val="{00000000-E1FF-DA4C-A5ED-8C7131CE9C3A}"/>
            </c:ext>
          </c:extLst>
        </c:ser>
        <c:dLbls>
          <c:showLegendKey val="0"/>
          <c:showVal val="0"/>
          <c:showCatName val="0"/>
          <c:showSerName val="0"/>
          <c:showPercent val="0"/>
          <c:showBubbleSize val="0"/>
        </c:dLbls>
        <c:marker val="1"/>
        <c:smooth val="0"/>
        <c:axId val="818515600"/>
        <c:axId val="818520032"/>
      </c:lineChart>
      <c:catAx>
        <c:axId val="818515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818520032"/>
        <c:crosses val="autoZero"/>
        <c:auto val="1"/>
        <c:lblAlgn val="ctr"/>
        <c:lblOffset val="100"/>
        <c:tickLblSkip val="1"/>
        <c:tickMarkSkip val="1"/>
        <c:noMultiLvlLbl val="0"/>
      </c:catAx>
      <c:valAx>
        <c:axId val="818520032"/>
        <c:scaling>
          <c:orientation val="minMax"/>
          <c:max val="1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8515600"/>
        <c:crosses val="autoZero"/>
        <c:crossBetween val="between"/>
      </c:valAx>
      <c:spPr>
        <a:solidFill>
          <a:schemeClr val="bg1">
            <a:lumMod val="75000"/>
          </a:schemeClr>
        </a:solidFill>
        <a:ln w="12700">
          <a:solidFill>
            <a:srgbClr val="808080"/>
          </a:solidFill>
          <a:prstDash val="solid"/>
        </a:ln>
      </c:spPr>
    </c:plotArea>
    <c:legend>
      <c:legendPos val="r"/>
      <c:layout>
        <c:manualLayout>
          <c:xMode val="edge"/>
          <c:yMode val="edge"/>
          <c:x val="5.8432533703669701E-2"/>
          <c:y val="5.47604430802082E-2"/>
          <c:w val="0.87148050629798957"/>
          <c:h val="3.8479796062542371E-2"/>
        </c:manualLayout>
      </c:layout>
      <c:overlay val="0"/>
      <c:spPr>
        <a:solidFill>
          <a:srgbClr val="BFBFB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n-US"/>
    </a:p>
  </c:txPr>
  <c:printSettings>
    <c:headerFooter>
      <c:oddHeader>&amp;C&amp;"Arial,Bold"&amp;16The MID Report: Line Graphs
&amp;"Arial,Italic"&amp;12Version 5.0 (Mac): October 19, 2019&amp;"Arial,Bold"&amp;16
</c:oddHeader>
    </c:headerFooter>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sz="1050" b="1">
                <a:solidFill>
                  <a:schemeClr val="tx1"/>
                </a:solidFill>
                <a:latin typeface="Arial" panose="020B0604020202020204" pitchFamily="34" charset="0"/>
                <a:cs typeface="Arial" panose="020B0604020202020204" pitchFamily="34" charset="0"/>
              </a:rPr>
              <a:t>BPD-DID Mean MID Score Comparison </a:t>
            </a:r>
          </a:p>
        </c:rich>
      </c:tx>
      <c:layout>
        <c:manualLayout>
          <c:xMode val="edge"/>
          <c:yMode val="edge"/>
          <c:x val="0.15043850248538571"/>
          <c:y val="2.2753338504411424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n-US"/>
        </a:p>
      </c:txPr>
    </c:title>
    <c:autoTitleDeleted val="0"/>
    <c:plotArea>
      <c:layout>
        <c:manualLayout>
          <c:layoutTarget val="inner"/>
          <c:xMode val="edge"/>
          <c:yMode val="edge"/>
          <c:x val="0.11929927669791862"/>
          <c:y val="0.1953921578132625"/>
          <c:w val="0.84358310189066055"/>
          <c:h val="0.68563345710970858"/>
        </c:manualLayout>
      </c:layout>
      <c:barChart>
        <c:barDir val="col"/>
        <c:grouping val="clustered"/>
        <c:varyColors val="0"/>
        <c:ser>
          <c:idx val="2"/>
          <c:order val="0"/>
          <c:tx>
            <c:strRef>
              <c:f>Calculations!$F$445</c:f>
              <c:strCache>
                <c:ptCount val="1"/>
                <c:pt idx="0">
                  <c:v>BPD</c:v>
                </c:pt>
              </c:strCache>
            </c:strRef>
          </c:tx>
          <c:spPr>
            <a:gradFill flip="none" rotWithShape="1">
              <a:gsLst>
                <a:gs pos="0">
                  <a:schemeClr val="accent6">
                    <a:lumMod val="67000"/>
                  </a:schemeClr>
                </a:gs>
                <a:gs pos="36000">
                  <a:schemeClr val="accent6">
                    <a:lumMod val="97000"/>
                    <a:lumOff val="3000"/>
                  </a:schemeClr>
                </a:gs>
                <a:gs pos="100000">
                  <a:schemeClr val="bg1"/>
                </a:gs>
              </a:gsLst>
              <a:lin ang="16200000" scaled="1"/>
              <a:tileRect/>
            </a:gradFill>
            <a:ln w="9525" cap="flat" cmpd="sng" algn="ctr">
              <a:solidFill>
                <a:schemeClr val="accent6">
                  <a:lumMod val="50000"/>
                </a:schemeClr>
              </a:solidFill>
              <a:round/>
            </a:ln>
            <a:effectLst>
              <a:outerShdw blurRad="40000" dist="20000" dir="5400000" rotWithShape="0">
                <a:srgbClr val="000000">
                  <a:alpha val="38000"/>
                </a:srgbClr>
              </a:outerShdw>
            </a:effectLst>
          </c:spPr>
          <c:invertIfNegative val="0"/>
          <c:dLbls>
            <c:dLbl>
              <c:idx val="0"/>
              <c:tx>
                <c:rich>
                  <a:bodyPr/>
                  <a:lstStyle/>
                  <a:p>
                    <a:fld id="{3FB936F2-0BFC-EC4D-A075-157B5D5B62E5}" type="SERIESNAME">
                      <a:rPr lang="en-US" sz="1000">
                        <a:latin typeface="Arial" panose="020B0604020202020204" pitchFamily="34" charset="0"/>
                        <a:cs typeface="Arial" panose="020B0604020202020204" pitchFamily="34" charset="0"/>
                      </a:rPr>
                      <a:pPr/>
                      <a:t>[SERIES NAME]</a:t>
                    </a:fld>
                    <a:endParaRPr lang="en-US" sz="1000" baseline="0">
                      <a:latin typeface="Arial" panose="020B0604020202020204" pitchFamily="34" charset="0"/>
                      <a:cs typeface="Arial" panose="020B0604020202020204" pitchFamily="34" charset="0"/>
                    </a:endParaRPr>
                  </a:p>
                  <a:p>
                    <a:fld id="{539EEA41-E106-FA46-B716-0DA5AD41FF32}" type="VALUE">
                      <a:rPr lang="en-US" sz="1000">
                        <a:latin typeface="Arial" panose="020B0604020202020204" pitchFamily="34" charset="0"/>
                        <a:cs typeface="Arial" panose="020B0604020202020204" pitchFamily="34" charset="0"/>
                      </a:rPr>
                      <a:pPr/>
                      <a:t>[VALUE]</a:t>
                    </a:fld>
                    <a:endParaRPr lang="en-US"/>
                  </a:p>
                </c:rich>
              </c:tx>
              <c:dLblPos val="outEnd"/>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E-2B18-2B43-8B8F-5F91F07D162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Calculations!$H$447:$H$449</c:f>
              <c:numCache>
                <c:formatCode>General</c:formatCode>
                <c:ptCount val="3"/>
              </c:numCache>
            </c:numRef>
          </c:cat>
          <c:val>
            <c:numRef>
              <c:f>Calculations!$F$448</c:f>
              <c:numCache>
                <c:formatCode>General</c:formatCode>
                <c:ptCount val="1"/>
                <c:pt idx="0">
                  <c:v>30.8</c:v>
                </c:pt>
              </c:numCache>
            </c:numRef>
          </c:val>
          <c:extLst>
            <c:ext xmlns:c16="http://schemas.microsoft.com/office/drawing/2014/chart" uri="{C3380CC4-5D6E-409C-BE32-E72D297353CC}">
              <c16:uniqueId val="{00000002-2B18-2B43-8B8F-5F91F07D162B}"/>
            </c:ext>
          </c:extLst>
        </c:ser>
        <c:ser>
          <c:idx val="1"/>
          <c:order val="1"/>
          <c:tx>
            <c:strRef>
              <c:f>Calculations!$E$445</c:f>
              <c:strCache>
                <c:ptCount val="1"/>
                <c:pt idx="0">
                  <c:v>DID</c:v>
                </c:pt>
              </c:strCache>
            </c:strRef>
          </c:tx>
          <c:spPr>
            <a:gradFill flip="none" rotWithShape="1">
              <a:gsLst>
                <a:gs pos="0">
                  <a:srgbClr val="FFF58C"/>
                </a:gs>
                <a:gs pos="36000">
                  <a:srgbClr val="FFF58C"/>
                </a:gs>
                <a:gs pos="100000">
                  <a:schemeClr val="bg1"/>
                </a:gs>
              </a:gsLst>
              <a:lin ang="16200000" scaled="1"/>
              <a:tileRect/>
            </a:gradFill>
            <a:ln w="9525" cap="flat" cmpd="sng" algn="ctr">
              <a:solidFill>
                <a:schemeClr val="tx1"/>
              </a:solidFill>
              <a:round/>
            </a:ln>
            <a:effectLst>
              <a:outerShdw blurRad="40000" dist="20000" dir="5400000" rotWithShape="0">
                <a:srgbClr val="000000">
                  <a:alpha val="38000"/>
                </a:srgbClr>
              </a:outerShdw>
            </a:effectLst>
          </c:spPr>
          <c:invertIfNegative val="0"/>
          <c:dLbls>
            <c:dLbl>
              <c:idx val="0"/>
              <c:tx>
                <c:rich>
                  <a:bodyPr/>
                  <a:lstStyle/>
                  <a:p>
                    <a:fld id="{C9B47F77-E043-274D-92E1-73A20B648CF8}" type="SERIESNAME">
                      <a:rPr lang="en-US" sz="1000">
                        <a:latin typeface="Arial" panose="020B0604020202020204" pitchFamily="34" charset="0"/>
                        <a:cs typeface="Arial" panose="020B0604020202020204" pitchFamily="34" charset="0"/>
                      </a:rPr>
                      <a:pPr/>
                      <a:t>[SERIES NAME]</a:t>
                    </a:fld>
                    <a:endParaRPr lang="en-US" sz="1000" baseline="0">
                      <a:latin typeface="Arial" panose="020B0604020202020204" pitchFamily="34" charset="0"/>
                      <a:cs typeface="Arial" panose="020B0604020202020204" pitchFamily="34" charset="0"/>
                    </a:endParaRPr>
                  </a:p>
                  <a:p>
                    <a:fld id="{D7DD5708-FE0C-3046-BFD9-A2948CA38C83}" type="VALUE">
                      <a:rPr lang="en-US" sz="1000">
                        <a:latin typeface="Arial" panose="020B0604020202020204" pitchFamily="34" charset="0"/>
                        <a:cs typeface="Arial" panose="020B0604020202020204" pitchFamily="34" charset="0"/>
                      </a:rPr>
                      <a:pPr/>
                      <a:t>[VALUE]</a:t>
                    </a:fld>
                    <a:endParaRPr lang="en-US"/>
                  </a:p>
                </c:rich>
              </c:tx>
              <c:dLblPos val="outEnd"/>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2B18-2B43-8B8F-5F91F07D162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Calculations!$H$447:$H$449</c:f>
              <c:numCache>
                <c:formatCode>General</c:formatCode>
                <c:ptCount val="3"/>
              </c:numCache>
            </c:numRef>
          </c:cat>
          <c:val>
            <c:numRef>
              <c:f>Calculations!$E$448</c:f>
              <c:numCache>
                <c:formatCode>General</c:formatCode>
                <c:ptCount val="1"/>
                <c:pt idx="0">
                  <c:v>51.4</c:v>
                </c:pt>
              </c:numCache>
            </c:numRef>
          </c:val>
          <c:extLst>
            <c:ext xmlns:c16="http://schemas.microsoft.com/office/drawing/2014/chart" uri="{C3380CC4-5D6E-409C-BE32-E72D297353CC}">
              <c16:uniqueId val="{00000001-2B18-2B43-8B8F-5F91F07D162B}"/>
            </c:ext>
          </c:extLst>
        </c:ser>
        <c:ser>
          <c:idx val="0"/>
          <c:order val="2"/>
          <c:tx>
            <c:strRef>
              <c:f>Calculations!$D$445</c:f>
              <c:strCache>
                <c:ptCount val="1"/>
                <c:pt idx="0">
                  <c:v>Test-taker</c:v>
                </c:pt>
              </c:strCache>
            </c:strRef>
          </c:tx>
          <c:spPr>
            <a:gradFill flip="none" rotWithShape="1">
              <a:gsLst>
                <a:gs pos="100000">
                  <a:schemeClr val="bg1">
                    <a:lumMod val="100000"/>
                  </a:schemeClr>
                </a:gs>
                <a:gs pos="47000">
                  <a:srgbClr val="4567FF"/>
                </a:gs>
                <a:gs pos="0">
                  <a:srgbClr val="0432FF">
                    <a:lumMod val="100000"/>
                  </a:srgbClr>
                </a:gs>
              </a:gsLst>
              <a:lin ang="16200000" scaled="1"/>
              <a:tileRect/>
            </a:gradFill>
            <a:ln w="9525" cap="flat" cmpd="sng" algn="ctr">
              <a:solidFill>
                <a:schemeClr val="tx1"/>
              </a:solidFill>
              <a:round/>
            </a:ln>
            <a:effectLst>
              <a:outerShdw blurRad="40000" dist="20000" dir="5400000" rotWithShape="0">
                <a:srgbClr val="000000">
                  <a:alpha val="38000"/>
                </a:srgbClr>
              </a:outerShdw>
            </a:effectLst>
          </c:spPr>
          <c:invertIfNegative val="0"/>
          <c:dPt>
            <c:idx val="0"/>
            <c:invertIfNegative val="0"/>
            <c:bubble3D val="0"/>
            <c:spPr>
              <a:gradFill flip="none" rotWithShape="1">
                <a:gsLst>
                  <a:gs pos="100000">
                    <a:schemeClr val="bg1">
                      <a:lumMod val="100000"/>
                    </a:schemeClr>
                  </a:gs>
                  <a:gs pos="36000">
                    <a:srgbClr val="4567FF"/>
                  </a:gs>
                  <a:gs pos="0">
                    <a:srgbClr val="0432FF">
                      <a:lumMod val="100000"/>
                    </a:srgbClr>
                  </a:gs>
                </a:gsLst>
                <a:lin ang="16200000" scaled="1"/>
                <a:tileRect/>
              </a:gradFill>
              <a:ln w="9525" cap="flat" cmpd="sng" algn="ctr">
                <a:solidFill>
                  <a:schemeClr val="tx1"/>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C-2B18-2B43-8B8F-5F91F07D162B}"/>
              </c:ext>
            </c:extLst>
          </c:dPt>
          <c:dLbls>
            <c:dLbl>
              <c:idx val="0"/>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9F51794F-DE0E-F54E-8F91-34A8DE444852}" type="SERIESNAME">
                      <a:rPr lang="en-US" sz="900">
                        <a:latin typeface="Arial" panose="020B0604020202020204" pitchFamily="34" charset="0"/>
                        <a:cs typeface="Arial" panose="020B0604020202020204" pitchFamily="34" charset="0"/>
                      </a:rPr>
                      <a:pPr>
                        <a:defRPr>
                          <a:solidFill>
                            <a:schemeClr val="tx1"/>
                          </a:solidFill>
                        </a:defRPr>
                      </a:pPr>
                      <a:t>[SERIES NAME]</a:t>
                    </a:fld>
                    <a:endParaRPr lang="en-US" sz="900" baseline="0">
                      <a:latin typeface="Arial" panose="020B0604020202020204" pitchFamily="34" charset="0"/>
                      <a:cs typeface="Arial" panose="020B0604020202020204" pitchFamily="34" charset="0"/>
                    </a:endParaRPr>
                  </a:p>
                  <a:p>
                    <a:pPr>
                      <a:defRPr>
                        <a:solidFill>
                          <a:schemeClr val="tx1"/>
                        </a:solidFill>
                      </a:defRPr>
                    </a:pPr>
                    <a:fld id="{1E0BB3FD-FDBA-E147-A96A-9E6725C83523}" type="VALUE">
                      <a:rPr lang="en-US" sz="1000">
                        <a:latin typeface="Arial" panose="020B0604020202020204" pitchFamily="34" charset="0"/>
                        <a:cs typeface="Arial" panose="020B0604020202020204" pitchFamily="34" charset="0"/>
                      </a:rPr>
                      <a:pPr>
                        <a:defRPr>
                          <a:solidFill>
                            <a:schemeClr val="tx1"/>
                          </a:solidFill>
                        </a:defRPr>
                      </a:pPr>
                      <a:t>[VALUE]</a:t>
                    </a:fld>
                    <a:endParaRPr 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extLst>
                <c:ext xmlns:c15="http://schemas.microsoft.com/office/drawing/2012/chart" uri="{CE6537A1-D6FC-4f65-9D91-7224C49458BB}">
                  <c15:layout>
                    <c:manualLayout>
                      <c:w val="0.1767796138316792"/>
                      <c:h val="0.11768497996950894"/>
                    </c:manualLayout>
                  </c15:layout>
                  <c15:dlblFieldTable/>
                  <c15:showDataLabelsRange val="0"/>
                </c:ext>
                <c:ext xmlns:c16="http://schemas.microsoft.com/office/drawing/2014/chart" uri="{C3380CC4-5D6E-409C-BE32-E72D297353CC}">
                  <c16:uniqueId val="{0000000C-2B18-2B43-8B8F-5F91F07D162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Calculations!$H$447:$H$449</c:f>
              <c:numCache>
                <c:formatCode>General</c:formatCode>
                <c:ptCount val="3"/>
              </c:numCache>
            </c:numRef>
          </c:cat>
          <c:val>
            <c:numRef>
              <c:f>Calculations!$D$448</c:f>
              <c:numCache>
                <c:formatCode>0.00</c:formatCode>
                <c:ptCount val="1"/>
                <c:pt idx="0">
                  <c:v>0</c:v>
                </c:pt>
              </c:numCache>
            </c:numRef>
          </c:val>
          <c:extLst>
            <c:ext xmlns:c16="http://schemas.microsoft.com/office/drawing/2014/chart" uri="{C3380CC4-5D6E-409C-BE32-E72D297353CC}">
              <c16:uniqueId val="{00000000-2B18-2B43-8B8F-5F91F07D162B}"/>
            </c:ext>
          </c:extLst>
        </c:ser>
        <c:dLbls>
          <c:showLegendKey val="0"/>
          <c:showVal val="0"/>
          <c:showCatName val="0"/>
          <c:showSerName val="0"/>
          <c:showPercent val="0"/>
          <c:showBubbleSize val="0"/>
        </c:dLbls>
        <c:gapWidth val="100"/>
        <c:overlap val="-24"/>
        <c:axId val="1683316575"/>
        <c:axId val="1683090911"/>
      </c:barChart>
      <c:catAx>
        <c:axId val="1683316575"/>
        <c:scaling>
          <c:orientation val="minMax"/>
        </c:scaling>
        <c:delete val="1"/>
        <c:axPos val="b"/>
        <c:numFmt formatCode="General" sourceLinked="1"/>
        <c:majorTickMark val="none"/>
        <c:minorTickMark val="none"/>
        <c:tickLblPos val="nextTo"/>
        <c:crossAx val="1683090911"/>
        <c:crosses val="autoZero"/>
        <c:auto val="0"/>
        <c:lblAlgn val="ctr"/>
        <c:lblOffset val="100"/>
        <c:noMultiLvlLbl val="0"/>
      </c:catAx>
      <c:valAx>
        <c:axId val="1683090911"/>
        <c:scaling>
          <c:orientation val="minMax"/>
          <c:max val="100"/>
        </c:scaling>
        <c:delete val="0"/>
        <c:axPos val="l"/>
        <c:majorGridlines>
          <c:spPr>
            <a:ln w="9525" cap="flat" cmpd="sng" algn="ctr">
              <a:solidFill>
                <a:schemeClr val="bg1">
                  <a:lumMod val="7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683316575"/>
        <c:crosses val="autoZero"/>
        <c:crossBetween val="between"/>
      </c:valAx>
      <c:spPr>
        <a:noFill/>
        <a:ln>
          <a:solidFill>
            <a:schemeClr val="tx1"/>
          </a:solid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175" cap="flat" cmpd="sng" algn="ctr">
      <a:solidFill>
        <a:schemeClr val="tx1"/>
      </a:solidFill>
      <a:round/>
    </a:ln>
    <a:effectLst/>
  </c:spPr>
  <c:txPr>
    <a:bodyPr/>
    <a:lstStyle/>
    <a:p>
      <a:pPr>
        <a:defRPr/>
      </a:pPr>
      <a:endParaRPr lang="en-US"/>
    </a:p>
  </c:txPr>
  <c:printSettings>
    <c:headerFooter>
      <c:oddHeader>&amp;C&amp;"Arial,Bold"&amp;16The MID Report: Line Graphs
&amp;"Arial,Italic"&amp;12Version 5.0 (Mac): April 20, 2020&amp;"Arial,Bold"
</c:oddHeader>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400" b="0" i="0" u="none" strike="noStrike" kern="1200" cap="none" spc="20" baseline="0">
                <a:solidFill>
                  <a:schemeClr val="tx1"/>
                </a:solidFill>
                <a:latin typeface="+mn-lt"/>
                <a:ea typeface="+mn-ea"/>
                <a:cs typeface="+mn-cs"/>
              </a:defRPr>
            </a:pPr>
            <a:r>
              <a:rPr lang="en-US" sz="1000" b="1">
                <a:solidFill>
                  <a:schemeClr val="tx1"/>
                </a:solidFill>
                <a:latin typeface="Arial" panose="020B0604020202020204" pitchFamily="34" charset="0"/>
                <a:cs typeface="Arial" panose="020B0604020202020204" pitchFamily="34" charset="0"/>
              </a:rPr>
              <a:t>BPD-DID D</a:t>
            </a:r>
            <a:r>
              <a:rPr lang="en-US" sz="1050" b="1">
                <a:solidFill>
                  <a:schemeClr val="tx1"/>
                </a:solidFill>
                <a:latin typeface="Arial" panose="020B0604020202020204" pitchFamily="34" charset="0"/>
                <a:cs typeface="Arial" panose="020B0604020202020204" pitchFamily="34" charset="0"/>
              </a:rPr>
              <a:t>issociation</a:t>
            </a:r>
            <a:r>
              <a:rPr lang="en-US" sz="1000" b="1">
                <a:solidFill>
                  <a:schemeClr val="tx1"/>
                </a:solidFill>
                <a:latin typeface="Arial" panose="020B0604020202020204" pitchFamily="34" charset="0"/>
                <a:cs typeface="Arial" panose="020B0604020202020204" pitchFamily="34" charset="0"/>
              </a:rPr>
              <a:t> Items 'Passed'</a:t>
            </a:r>
          </a:p>
        </c:rich>
      </c:tx>
      <c:layout>
        <c:manualLayout>
          <c:xMode val="edge"/>
          <c:yMode val="edge"/>
          <c:x val="0.1876900606726116"/>
          <c:y val="2.2682304596964676E-2"/>
        </c:manualLayout>
      </c:layout>
      <c:overlay val="0"/>
      <c:spPr>
        <a:noFill/>
        <a:ln>
          <a:noFill/>
        </a:ln>
        <a:effectLst/>
      </c:spPr>
      <c:txPr>
        <a:bodyPr rot="0" spcFirstLastPara="1" vertOverflow="ellipsis" vert="horz" wrap="square" anchor="t" anchorCtr="1"/>
        <a:lstStyle/>
        <a:p>
          <a:pPr>
            <a:defRPr sz="1400" b="0" i="0" u="none" strike="noStrike" kern="1200" cap="none" spc="20" baseline="0">
              <a:solidFill>
                <a:schemeClr val="tx1"/>
              </a:solidFill>
              <a:latin typeface="+mn-lt"/>
              <a:ea typeface="+mn-ea"/>
              <a:cs typeface="+mn-cs"/>
            </a:defRPr>
          </a:pPr>
          <a:endParaRPr lang="en-US"/>
        </a:p>
      </c:txPr>
    </c:title>
    <c:autoTitleDeleted val="0"/>
    <c:plotArea>
      <c:layout>
        <c:manualLayout>
          <c:layoutTarget val="inner"/>
          <c:xMode val="edge"/>
          <c:yMode val="edge"/>
          <c:x val="0.11929927669791862"/>
          <c:y val="0.1953921578132625"/>
          <c:w val="0.84358310189066055"/>
          <c:h val="0.68563345710970858"/>
        </c:manualLayout>
      </c:layout>
      <c:barChart>
        <c:barDir val="col"/>
        <c:grouping val="clustered"/>
        <c:varyColors val="0"/>
        <c:ser>
          <c:idx val="2"/>
          <c:order val="0"/>
          <c:tx>
            <c:strRef>
              <c:f>Calculations!$F$445</c:f>
              <c:strCache>
                <c:ptCount val="1"/>
                <c:pt idx="0">
                  <c:v>BPD</c:v>
                </c:pt>
              </c:strCache>
            </c:strRef>
          </c:tx>
          <c:spPr>
            <a:gradFill flip="none" rotWithShape="1">
              <a:gsLst>
                <a:gs pos="0">
                  <a:schemeClr val="accent6">
                    <a:lumMod val="67000"/>
                  </a:schemeClr>
                </a:gs>
                <a:gs pos="36000">
                  <a:schemeClr val="accent6">
                    <a:lumMod val="97000"/>
                    <a:lumOff val="3000"/>
                  </a:schemeClr>
                </a:gs>
                <a:gs pos="100000">
                  <a:schemeClr val="bg1"/>
                </a:gs>
              </a:gsLst>
              <a:lin ang="16200000" scaled="1"/>
              <a:tileRect/>
            </a:gradFill>
            <a:ln w="9525" cap="flat" cmpd="sng" algn="ctr">
              <a:solidFill>
                <a:schemeClr val="accent6">
                  <a:lumMod val="50000"/>
                </a:schemeClr>
              </a:solidFill>
              <a:round/>
            </a:ln>
            <a:effectLst>
              <a:outerShdw blurRad="40000" dist="20000" dir="5400000" rotWithShape="0">
                <a:srgbClr val="000000">
                  <a:alpha val="38000"/>
                </a:srgbClr>
              </a:outerShdw>
            </a:effectLst>
          </c:spPr>
          <c:invertIfNegative val="0"/>
          <c:dLbls>
            <c:dLbl>
              <c:idx val="0"/>
              <c:tx>
                <c:rich>
                  <a:bodyPr/>
                  <a:lstStyle/>
                  <a:p>
                    <a:fld id="{3FB936F2-0BFC-EC4D-A075-157B5D5B62E5}" type="SERIESNAME">
                      <a:rPr lang="en-US" sz="1000">
                        <a:latin typeface="Arial" panose="020B0604020202020204" pitchFamily="34" charset="0"/>
                        <a:cs typeface="Arial" panose="020B0604020202020204" pitchFamily="34" charset="0"/>
                      </a:rPr>
                      <a:pPr/>
                      <a:t>[SERIES NAME]</a:t>
                    </a:fld>
                    <a:endParaRPr lang="en-US" sz="1000" baseline="0">
                      <a:latin typeface="Arial" panose="020B0604020202020204" pitchFamily="34" charset="0"/>
                      <a:cs typeface="Arial" panose="020B0604020202020204" pitchFamily="34" charset="0"/>
                    </a:endParaRPr>
                  </a:p>
                  <a:p>
                    <a:fld id="{539EEA41-E106-FA46-B716-0DA5AD41FF32}" type="VALUE">
                      <a:rPr lang="en-US" sz="1000">
                        <a:latin typeface="Arial" panose="020B0604020202020204" pitchFamily="34" charset="0"/>
                        <a:cs typeface="Arial" panose="020B0604020202020204" pitchFamily="34" charset="0"/>
                      </a:rPr>
                      <a:pPr/>
                      <a:t>[VALUE]</a:t>
                    </a:fld>
                    <a:endParaRPr lang="en-US"/>
                  </a:p>
                </c:rich>
              </c:tx>
              <c:dLblPos val="outEnd"/>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4-2903-A546-953C-4FA0FA3C7A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Calculations!$H$447:$H$449</c:f>
              <c:numCache>
                <c:formatCode>General</c:formatCode>
                <c:ptCount val="3"/>
              </c:numCache>
            </c:numRef>
          </c:cat>
          <c:val>
            <c:numRef>
              <c:f>Calculations!$F$449</c:f>
              <c:numCache>
                <c:formatCode>General</c:formatCode>
                <c:ptCount val="1"/>
                <c:pt idx="0">
                  <c:v>82.6</c:v>
                </c:pt>
              </c:numCache>
            </c:numRef>
          </c:val>
          <c:extLst>
            <c:ext xmlns:c16="http://schemas.microsoft.com/office/drawing/2014/chart" uri="{C3380CC4-5D6E-409C-BE32-E72D297353CC}">
              <c16:uniqueId val="{00000005-2903-A546-953C-4FA0FA3C7A68}"/>
            </c:ext>
          </c:extLst>
        </c:ser>
        <c:ser>
          <c:idx val="1"/>
          <c:order val="1"/>
          <c:tx>
            <c:strRef>
              <c:f>Calculations!$E$445</c:f>
              <c:strCache>
                <c:ptCount val="1"/>
                <c:pt idx="0">
                  <c:v>DID</c:v>
                </c:pt>
              </c:strCache>
            </c:strRef>
          </c:tx>
          <c:spPr>
            <a:gradFill rotWithShape="1">
              <a:gsLst>
                <a:gs pos="0">
                  <a:srgbClr val="FFF58C"/>
                </a:gs>
                <a:gs pos="100000">
                  <a:schemeClr val="bg1"/>
                </a:gs>
                <a:gs pos="36000">
                  <a:srgbClr val="FFF58C"/>
                </a:gs>
              </a:gsLst>
              <a:path path="circle">
                <a:fillToRect l="50000" t="-80000" r="50000" b="180000"/>
              </a:path>
            </a:gradFill>
            <a:ln w="9525" cap="flat" cmpd="sng" algn="ctr">
              <a:solidFill>
                <a:schemeClr val="tx1"/>
              </a:solidFill>
              <a:round/>
            </a:ln>
            <a:effectLst>
              <a:outerShdw blurRad="40000" dist="20000" dir="5400000" rotWithShape="0">
                <a:srgbClr val="000000">
                  <a:alpha val="38000"/>
                </a:srgbClr>
              </a:outerShdw>
            </a:effectLst>
          </c:spPr>
          <c:invertIfNegative val="0"/>
          <c:dPt>
            <c:idx val="0"/>
            <c:invertIfNegative val="0"/>
            <c:bubble3D val="0"/>
            <c:spPr>
              <a:gradFill flip="none" rotWithShape="1">
                <a:gsLst>
                  <a:gs pos="0">
                    <a:srgbClr val="FFF58C"/>
                  </a:gs>
                  <a:gs pos="100000">
                    <a:schemeClr val="bg1"/>
                  </a:gs>
                  <a:gs pos="36000">
                    <a:srgbClr val="FFF58C"/>
                  </a:gs>
                </a:gsLst>
                <a:lin ang="16200000" scaled="1"/>
                <a:tileRect/>
              </a:gradFill>
              <a:ln w="9525" cap="flat" cmpd="sng" algn="ctr">
                <a:solidFill>
                  <a:schemeClr val="tx1"/>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2-2903-A546-953C-4FA0FA3C7A68}"/>
              </c:ext>
            </c:extLst>
          </c:dPt>
          <c:dLbls>
            <c:dLbl>
              <c:idx val="0"/>
              <c:tx>
                <c:rich>
                  <a:bodyPr/>
                  <a:lstStyle/>
                  <a:p>
                    <a:fld id="{C9B47F77-E043-274D-92E1-73A20B648CF8}" type="SERIESNAME">
                      <a:rPr lang="en-US" sz="1000">
                        <a:latin typeface="Arial" panose="020B0604020202020204" pitchFamily="34" charset="0"/>
                        <a:cs typeface="Arial" panose="020B0604020202020204" pitchFamily="34" charset="0"/>
                      </a:rPr>
                      <a:pPr/>
                      <a:t>[SERIES NAME]</a:t>
                    </a:fld>
                    <a:endParaRPr lang="en-US" sz="1000" baseline="0">
                      <a:latin typeface="Arial" panose="020B0604020202020204" pitchFamily="34" charset="0"/>
                      <a:cs typeface="Arial" panose="020B0604020202020204" pitchFamily="34" charset="0"/>
                    </a:endParaRPr>
                  </a:p>
                  <a:p>
                    <a:fld id="{D7DD5708-FE0C-3046-BFD9-A2948CA38C83}" type="VALUE">
                      <a:rPr lang="en-US" sz="1000">
                        <a:latin typeface="Arial" panose="020B0604020202020204" pitchFamily="34" charset="0"/>
                        <a:cs typeface="Arial" panose="020B0604020202020204" pitchFamily="34" charset="0"/>
                      </a:rPr>
                      <a:pPr/>
                      <a:t>[VALUE]</a:t>
                    </a:fld>
                    <a:endParaRPr lang="en-US"/>
                  </a:p>
                </c:rich>
              </c:tx>
              <c:dLblPos val="outEnd"/>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2903-A546-953C-4FA0FA3C7A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Calculations!$H$447:$H$449</c:f>
              <c:numCache>
                <c:formatCode>General</c:formatCode>
                <c:ptCount val="3"/>
              </c:numCache>
            </c:numRef>
          </c:cat>
          <c:val>
            <c:numRef>
              <c:f>Calculations!$E$449</c:f>
              <c:numCache>
                <c:formatCode>General</c:formatCode>
                <c:ptCount val="1"/>
                <c:pt idx="0">
                  <c:v>128.5</c:v>
                </c:pt>
              </c:numCache>
            </c:numRef>
          </c:val>
          <c:extLst>
            <c:ext xmlns:c16="http://schemas.microsoft.com/office/drawing/2014/chart" uri="{C3380CC4-5D6E-409C-BE32-E72D297353CC}">
              <c16:uniqueId val="{00000003-2903-A546-953C-4FA0FA3C7A68}"/>
            </c:ext>
          </c:extLst>
        </c:ser>
        <c:ser>
          <c:idx val="0"/>
          <c:order val="2"/>
          <c:tx>
            <c:strRef>
              <c:f>Calculations!$D$445</c:f>
              <c:strCache>
                <c:ptCount val="1"/>
                <c:pt idx="0">
                  <c:v>Test-taker</c:v>
                </c:pt>
              </c:strCache>
            </c:strRef>
          </c:tx>
          <c:spPr>
            <a:gradFill flip="none" rotWithShape="1">
              <a:gsLst>
                <a:gs pos="0">
                  <a:srgbClr val="0432FF">
                    <a:lumMod val="100000"/>
                  </a:srgbClr>
                </a:gs>
                <a:gs pos="36000">
                  <a:srgbClr val="4567FF"/>
                </a:gs>
                <a:gs pos="100000">
                  <a:schemeClr val="bg1">
                    <a:lumMod val="100000"/>
                  </a:schemeClr>
                </a:gs>
              </a:gsLst>
              <a:lin ang="16200000" scaled="1"/>
              <a:tileRect/>
            </a:gradFill>
            <a:ln w="9525" cap="flat" cmpd="sng" algn="ctr">
              <a:solidFill>
                <a:schemeClr val="tx1"/>
              </a:solidFill>
              <a:round/>
            </a:ln>
            <a:effectLst>
              <a:outerShdw blurRad="40000" dist="20000" dir="5400000" rotWithShape="0">
                <a:srgbClr val="000000">
                  <a:alpha val="38000"/>
                </a:srgbClr>
              </a:outerShdw>
            </a:effectLst>
          </c:spPr>
          <c:invertIfNegative val="0"/>
          <c:dLbls>
            <c:dLbl>
              <c:idx val="0"/>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9F51794F-DE0E-F54E-8F91-34A8DE444852}" type="SERIESNAME">
                      <a:rPr lang="en-US" sz="900">
                        <a:latin typeface="Arial" panose="020B0604020202020204" pitchFamily="34" charset="0"/>
                        <a:cs typeface="Arial" panose="020B0604020202020204" pitchFamily="34" charset="0"/>
                      </a:rPr>
                      <a:pPr>
                        <a:defRPr>
                          <a:solidFill>
                            <a:schemeClr val="tx1"/>
                          </a:solidFill>
                        </a:defRPr>
                      </a:pPr>
                      <a:t>[SERIES NAME]</a:t>
                    </a:fld>
                    <a:endParaRPr lang="en-US" sz="900" baseline="0">
                      <a:latin typeface="Arial" panose="020B0604020202020204" pitchFamily="34" charset="0"/>
                      <a:cs typeface="Arial" panose="020B0604020202020204" pitchFamily="34" charset="0"/>
                    </a:endParaRPr>
                  </a:p>
                  <a:p>
                    <a:pPr>
                      <a:defRPr>
                        <a:solidFill>
                          <a:schemeClr val="tx1"/>
                        </a:solidFill>
                      </a:defRPr>
                    </a:pPr>
                    <a:fld id="{1E0BB3FD-FDBA-E147-A96A-9E6725C83523}" type="VALUE">
                      <a:rPr lang="en-US" sz="1000">
                        <a:latin typeface="Arial" panose="020B0604020202020204" pitchFamily="34" charset="0"/>
                        <a:cs typeface="Arial" panose="020B0604020202020204" pitchFamily="34" charset="0"/>
                      </a:rPr>
                      <a:pPr>
                        <a:defRPr>
                          <a:solidFill>
                            <a:schemeClr val="tx1"/>
                          </a:solidFill>
                        </a:defRPr>
                      </a:pPr>
                      <a:t>[VALUE]</a:t>
                    </a:fld>
                    <a:endParaRPr 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extLst>
                <c:ext xmlns:c15="http://schemas.microsoft.com/office/drawing/2012/chart" uri="{CE6537A1-D6FC-4f65-9D91-7224C49458BB}">
                  <c15:layout>
                    <c:manualLayout>
                      <c:w val="0.1767796138316792"/>
                      <c:h val="0.12675161941246035"/>
                    </c:manualLayout>
                  </c15:layout>
                  <c15:dlblFieldTable/>
                  <c15:showDataLabelsRange val="0"/>
                </c:ext>
                <c:ext xmlns:c16="http://schemas.microsoft.com/office/drawing/2014/chart" uri="{C3380CC4-5D6E-409C-BE32-E72D297353CC}">
                  <c16:uniqueId val="{00000000-2903-A546-953C-4FA0FA3C7A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Calculations!$H$447:$H$449</c:f>
              <c:numCache>
                <c:formatCode>General</c:formatCode>
                <c:ptCount val="3"/>
              </c:numCache>
            </c:numRef>
          </c:cat>
          <c:val>
            <c:numRef>
              <c:f>Calculations!$D$449</c:f>
              <c:numCache>
                <c:formatCode>0.00</c:formatCode>
                <c:ptCount val="1"/>
                <c:pt idx="0">
                  <c:v>0</c:v>
                </c:pt>
              </c:numCache>
            </c:numRef>
          </c:val>
          <c:extLst>
            <c:ext xmlns:c16="http://schemas.microsoft.com/office/drawing/2014/chart" uri="{C3380CC4-5D6E-409C-BE32-E72D297353CC}">
              <c16:uniqueId val="{00000001-2903-A546-953C-4FA0FA3C7A68}"/>
            </c:ext>
          </c:extLst>
        </c:ser>
        <c:dLbls>
          <c:showLegendKey val="0"/>
          <c:showVal val="0"/>
          <c:showCatName val="0"/>
          <c:showSerName val="0"/>
          <c:showPercent val="0"/>
          <c:showBubbleSize val="0"/>
        </c:dLbls>
        <c:gapWidth val="100"/>
        <c:overlap val="-24"/>
        <c:axId val="1683316575"/>
        <c:axId val="1683090911"/>
      </c:barChart>
      <c:catAx>
        <c:axId val="1683316575"/>
        <c:scaling>
          <c:orientation val="minMax"/>
        </c:scaling>
        <c:delete val="1"/>
        <c:axPos val="b"/>
        <c:numFmt formatCode="General" sourceLinked="1"/>
        <c:majorTickMark val="none"/>
        <c:minorTickMark val="none"/>
        <c:tickLblPos val="nextTo"/>
        <c:crossAx val="1683090911"/>
        <c:crosses val="autoZero"/>
        <c:auto val="0"/>
        <c:lblAlgn val="ctr"/>
        <c:lblOffset val="100"/>
        <c:noMultiLvlLbl val="0"/>
      </c:catAx>
      <c:valAx>
        <c:axId val="1683090911"/>
        <c:scaling>
          <c:orientation val="minMax"/>
          <c:max val="168"/>
          <c:min val="0"/>
        </c:scaling>
        <c:delete val="0"/>
        <c:axPos val="l"/>
        <c:majorGridlines>
          <c:spPr>
            <a:ln w="9525" cap="flat" cmpd="sng" algn="ctr">
              <a:solidFill>
                <a:schemeClr val="bg1">
                  <a:lumMod val="7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683316575"/>
        <c:crosses val="autoZero"/>
        <c:crossBetween val="between"/>
      </c:valAx>
      <c:spPr>
        <a:noFill/>
        <a:ln>
          <a:solidFill>
            <a:schemeClr val="tx1"/>
          </a:solid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175" cap="flat" cmpd="sng" algn="ctr">
      <a:solidFill>
        <a:schemeClr val="tx1"/>
      </a:solidFill>
      <a:round/>
    </a:ln>
    <a:effectLst/>
  </c:spPr>
  <c:txPr>
    <a:bodyPr/>
    <a:lstStyle/>
    <a:p>
      <a:pPr>
        <a:defRPr/>
      </a:pPr>
      <a:endParaRPr lang="en-US"/>
    </a:p>
  </c:txPr>
  <c:printSettings>
    <c:headerFooter>
      <c:oddHeader>&amp;C&amp;"Arial,Bold"&amp;16The MID Report: Line Graphs
&amp;"Arial,Italic"&amp;12Version 5.0 (Mac): October 19, 2019&amp;"Arial,Bold"&amp;16
</c:oddHeader>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sz="1430"/>
              <a:t>MID BPD-DID</a:t>
            </a:r>
            <a:r>
              <a:rPr lang="en-US" sz="1430" baseline="0"/>
              <a:t> Clinical Significance Score Comparison</a:t>
            </a:r>
            <a:r>
              <a:rPr lang="en-US" sz="1430"/>
              <a:t> Graph</a:t>
            </a:r>
          </a:p>
        </c:rich>
      </c:tx>
      <c:layout>
        <c:manualLayout>
          <c:xMode val="edge"/>
          <c:yMode val="edge"/>
          <c:x val="0.14560547393964646"/>
          <c:y val="1.3449454517875419E-2"/>
        </c:manualLayout>
      </c:layout>
      <c:overlay val="0"/>
      <c:spPr>
        <a:noFill/>
        <a:ln w="25400">
          <a:noFill/>
        </a:ln>
      </c:spPr>
    </c:title>
    <c:autoTitleDeleted val="0"/>
    <c:plotArea>
      <c:layout>
        <c:manualLayout>
          <c:layoutTarget val="inner"/>
          <c:xMode val="edge"/>
          <c:yMode val="edge"/>
          <c:x val="0.10998699395354126"/>
          <c:y val="0.10828839119174573"/>
          <c:w val="0.82229789599418501"/>
          <c:h val="0.55601349328185456"/>
        </c:manualLayout>
      </c:layout>
      <c:lineChart>
        <c:grouping val="standard"/>
        <c:varyColors val="0"/>
        <c:ser>
          <c:idx val="2"/>
          <c:order val="0"/>
          <c:tx>
            <c:strRef>
              <c:f>Calculations!$F$475</c:f>
              <c:strCache>
                <c:ptCount val="1"/>
                <c:pt idx="0">
                  <c:v>BPD</c:v>
                </c:pt>
              </c:strCache>
            </c:strRef>
          </c:tx>
          <c:spPr>
            <a:ln w="12700" cmpd="sng">
              <a:solidFill>
                <a:schemeClr val="accent6">
                  <a:lumMod val="50000"/>
                </a:schemeClr>
              </a:solidFill>
              <a:prstDash val="solid"/>
            </a:ln>
          </c:spPr>
          <c:marker>
            <c:symbol val="x"/>
            <c:size val="6"/>
            <c:spPr>
              <a:noFill/>
              <a:ln w="15875">
                <a:solidFill>
                  <a:schemeClr val="accent6">
                    <a:lumMod val="50000"/>
                  </a:schemeClr>
                </a:solidFill>
                <a:prstDash val="solid"/>
              </a:ln>
            </c:spPr>
          </c:marker>
          <c:cat>
            <c:strRef>
              <c:f>Calculations!$C$478:$C$490</c:f>
              <c:strCache>
                <c:ptCount val="13"/>
                <c:pt idx="0">
                  <c:v>Memory Problems</c:v>
                </c:pt>
                <c:pt idx="1">
                  <c:v>Depersonalization</c:v>
                </c:pt>
                <c:pt idx="2">
                  <c:v>Derealization</c:v>
                </c:pt>
                <c:pt idx="3">
                  <c:v>Flashbacks</c:v>
                </c:pt>
                <c:pt idx="4">
                  <c:v>Somatoform Symptoms</c:v>
                </c:pt>
                <c:pt idx="5">
                  <c:v>Trance</c:v>
                </c:pt>
                <c:pt idx="6">
                  <c:v>Identity Confusion</c:v>
                </c:pt>
                <c:pt idx="7">
                  <c:v>Voices</c:v>
                </c:pt>
                <c:pt idx="8">
                  <c:v>Ego-Alien Experiences</c:v>
                </c:pt>
                <c:pt idx="9">
                  <c:v>Experiences of Self-Alteration</c:v>
                </c:pt>
                <c:pt idx="10">
                  <c:v>Self-States and Alters</c:v>
                </c:pt>
                <c:pt idx="11">
                  <c:v>Discontinuities of Time (Time Gaps)</c:v>
                </c:pt>
                <c:pt idx="12">
                  <c:v>Disremembered / Discovered Behavior</c:v>
                </c:pt>
              </c:strCache>
            </c:strRef>
          </c:cat>
          <c:val>
            <c:numRef>
              <c:f>Calculations!$F$478:$F$490</c:f>
              <c:numCache>
                <c:formatCode>General</c:formatCode>
                <c:ptCount val="13"/>
                <c:pt idx="0">
                  <c:v>148</c:v>
                </c:pt>
                <c:pt idx="1">
                  <c:v>117.5</c:v>
                </c:pt>
                <c:pt idx="2">
                  <c:v>157.30000000000001</c:v>
                </c:pt>
                <c:pt idx="3">
                  <c:v>171</c:v>
                </c:pt>
                <c:pt idx="4">
                  <c:v>100.8</c:v>
                </c:pt>
                <c:pt idx="5">
                  <c:v>128</c:v>
                </c:pt>
                <c:pt idx="6">
                  <c:v>127.7</c:v>
                </c:pt>
                <c:pt idx="7">
                  <c:v>80.3</c:v>
                </c:pt>
                <c:pt idx="8">
                  <c:v>114.8</c:v>
                </c:pt>
                <c:pt idx="9">
                  <c:v>122.8</c:v>
                </c:pt>
                <c:pt idx="10">
                  <c:v>137.69999999999999</c:v>
                </c:pt>
                <c:pt idx="11">
                  <c:v>136</c:v>
                </c:pt>
                <c:pt idx="12">
                  <c:v>155.30000000000001</c:v>
                </c:pt>
              </c:numCache>
            </c:numRef>
          </c:val>
          <c:smooth val="0"/>
          <c:extLst>
            <c:ext xmlns:c16="http://schemas.microsoft.com/office/drawing/2014/chart" uri="{C3380CC4-5D6E-409C-BE32-E72D297353CC}">
              <c16:uniqueId val="{00000003-AE13-3B49-AFB7-5F3220EF062B}"/>
            </c:ext>
          </c:extLst>
        </c:ser>
        <c:ser>
          <c:idx val="1"/>
          <c:order val="1"/>
          <c:tx>
            <c:strRef>
              <c:f>Calculations!$E$475</c:f>
              <c:strCache>
                <c:ptCount val="1"/>
                <c:pt idx="0">
                  <c:v>DID</c:v>
                </c:pt>
              </c:strCache>
            </c:strRef>
          </c:tx>
          <c:spPr>
            <a:ln w="12700" cmpd="sng">
              <a:solidFill>
                <a:srgbClr val="FFFF00"/>
              </a:solidFill>
              <a:prstDash val="solid"/>
            </a:ln>
          </c:spPr>
          <c:marker>
            <c:symbol val="triangle"/>
            <c:size val="6"/>
            <c:spPr>
              <a:solidFill>
                <a:srgbClr val="FFFD78"/>
              </a:solidFill>
              <a:ln>
                <a:solidFill>
                  <a:schemeClr val="tx1"/>
                </a:solidFill>
                <a:prstDash val="solid"/>
              </a:ln>
            </c:spPr>
          </c:marker>
          <c:cat>
            <c:strRef>
              <c:f>Calculations!$C$478:$C$490</c:f>
              <c:strCache>
                <c:ptCount val="13"/>
                <c:pt idx="0">
                  <c:v>Memory Problems</c:v>
                </c:pt>
                <c:pt idx="1">
                  <c:v>Depersonalization</c:v>
                </c:pt>
                <c:pt idx="2">
                  <c:v>Derealization</c:v>
                </c:pt>
                <c:pt idx="3">
                  <c:v>Flashbacks</c:v>
                </c:pt>
                <c:pt idx="4">
                  <c:v>Somatoform Symptoms</c:v>
                </c:pt>
                <c:pt idx="5">
                  <c:v>Trance</c:v>
                </c:pt>
                <c:pt idx="6">
                  <c:v>Identity Confusion</c:v>
                </c:pt>
                <c:pt idx="7">
                  <c:v>Voices</c:v>
                </c:pt>
                <c:pt idx="8">
                  <c:v>Ego-Alien Experiences</c:v>
                </c:pt>
                <c:pt idx="9">
                  <c:v>Experiences of Self-Alteration</c:v>
                </c:pt>
                <c:pt idx="10">
                  <c:v>Self-States and Alters</c:v>
                </c:pt>
                <c:pt idx="11">
                  <c:v>Discontinuities of Time (Time Gaps)</c:v>
                </c:pt>
                <c:pt idx="12">
                  <c:v>Disremembered / Discovered Behavior</c:v>
                </c:pt>
              </c:strCache>
            </c:strRef>
          </c:cat>
          <c:val>
            <c:numRef>
              <c:f>Calculations!$E$478:$E$490</c:f>
              <c:numCache>
                <c:formatCode>General</c:formatCode>
                <c:ptCount val="13"/>
                <c:pt idx="0">
                  <c:v>196.2</c:v>
                </c:pt>
                <c:pt idx="1">
                  <c:v>228.7</c:v>
                </c:pt>
                <c:pt idx="2">
                  <c:v>230.7</c:v>
                </c:pt>
                <c:pt idx="3">
                  <c:v>201.9</c:v>
                </c:pt>
                <c:pt idx="4">
                  <c:v>145.30000000000001</c:v>
                </c:pt>
                <c:pt idx="5">
                  <c:v>186.2</c:v>
                </c:pt>
                <c:pt idx="6">
                  <c:v>177.3</c:v>
                </c:pt>
                <c:pt idx="7">
                  <c:v>157.4</c:v>
                </c:pt>
                <c:pt idx="8">
                  <c:v>165.8</c:v>
                </c:pt>
                <c:pt idx="9">
                  <c:v>233.4</c:v>
                </c:pt>
                <c:pt idx="10">
                  <c:v>326.60000000000002</c:v>
                </c:pt>
                <c:pt idx="11">
                  <c:v>227.7</c:v>
                </c:pt>
                <c:pt idx="12">
                  <c:v>258.10000000000002</c:v>
                </c:pt>
              </c:numCache>
            </c:numRef>
          </c:val>
          <c:smooth val="0"/>
          <c:extLst>
            <c:ext xmlns:c16="http://schemas.microsoft.com/office/drawing/2014/chart" uri="{C3380CC4-5D6E-409C-BE32-E72D297353CC}">
              <c16:uniqueId val="{00000002-AE13-3B49-AFB7-5F3220EF062B}"/>
            </c:ext>
          </c:extLst>
        </c:ser>
        <c:ser>
          <c:idx val="0"/>
          <c:order val="2"/>
          <c:tx>
            <c:strRef>
              <c:f>Calculations!$D$475</c:f>
              <c:strCache>
                <c:ptCount val="1"/>
                <c:pt idx="0">
                  <c:v>Test-taker</c:v>
                </c:pt>
              </c:strCache>
            </c:strRef>
          </c:tx>
          <c:spPr>
            <a:ln w="12700" cmpd="sng">
              <a:solidFill>
                <a:srgbClr val="0432FF"/>
              </a:solidFill>
              <a:prstDash val="solid"/>
            </a:ln>
          </c:spPr>
          <c:marker>
            <c:symbol val="diamond"/>
            <c:size val="7"/>
            <c:spPr>
              <a:solidFill>
                <a:srgbClr val="0432FF"/>
              </a:solidFill>
              <a:ln>
                <a:solidFill>
                  <a:srgbClr val="0432FF"/>
                </a:solidFill>
                <a:prstDash val="solid"/>
              </a:ln>
            </c:spPr>
          </c:marker>
          <c:dPt>
            <c:idx val="7"/>
            <c:bubble3D val="0"/>
            <c:extLst>
              <c:ext xmlns:c16="http://schemas.microsoft.com/office/drawing/2014/chart" uri="{C3380CC4-5D6E-409C-BE32-E72D297353CC}">
                <c16:uniqueId val="{00000000-AE13-3B49-AFB7-5F3220EF062B}"/>
              </c:ext>
            </c:extLst>
          </c:dPt>
          <c:cat>
            <c:strRef>
              <c:f>Calculations!$C$478:$C$490</c:f>
              <c:strCache>
                <c:ptCount val="13"/>
                <c:pt idx="0">
                  <c:v>Memory Problems</c:v>
                </c:pt>
                <c:pt idx="1">
                  <c:v>Depersonalization</c:v>
                </c:pt>
                <c:pt idx="2">
                  <c:v>Derealization</c:v>
                </c:pt>
                <c:pt idx="3">
                  <c:v>Flashbacks</c:v>
                </c:pt>
                <c:pt idx="4">
                  <c:v>Somatoform Symptoms</c:v>
                </c:pt>
                <c:pt idx="5">
                  <c:v>Trance</c:v>
                </c:pt>
                <c:pt idx="6">
                  <c:v>Identity Confusion</c:v>
                </c:pt>
                <c:pt idx="7">
                  <c:v>Voices</c:v>
                </c:pt>
                <c:pt idx="8">
                  <c:v>Ego-Alien Experiences</c:v>
                </c:pt>
                <c:pt idx="9">
                  <c:v>Experiences of Self-Alteration</c:v>
                </c:pt>
                <c:pt idx="10">
                  <c:v>Self-States and Alters</c:v>
                </c:pt>
                <c:pt idx="11">
                  <c:v>Discontinuities of Time (Time Gaps)</c:v>
                </c:pt>
                <c:pt idx="12">
                  <c:v>Disremembered / Discovered Behavior</c:v>
                </c:pt>
              </c:strCache>
            </c:strRef>
          </c:cat>
          <c:val>
            <c:numRef>
              <c:f>Calculations!$D$478:$D$490</c:f>
              <c:numCache>
                <c:formatCode>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1-AE13-3B49-AFB7-5F3220EF062B}"/>
            </c:ext>
          </c:extLst>
        </c:ser>
        <c:dLbls>
          <c:showLegendKey val="0"/>
          <c:showVal val="0"/>
          <c:showCatName val="0"/>
          <c:showSerName val="0"/>
          <c:showPercent val="0"/>
          <c:showBubbleSize val="0"/>
        </c:dLbls>
        <c:marker val="1"/>
        <c:smooth val="0"/>
        <c:axId val="818515600"/>
        <c:axId val="818520032"/>
      </c:lineChart>
      <c:catAx>
        <c:axId val="818515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818520032"/>
        <c:crosses val="autoZero"/>
        <c:auto val="1"/>
        <c:lblAlgn val="ctr"/>
        <c:lblOffset val="100"/>
        <c:tickLblSkip val="1"/>
        <c:tickMarkSkip val="1"/>
        <c:noMultiLvlLbl val="0"/>
      </c:catAx>
      <c:valAx>
        <c:axId val="818520032"/>
        <c:scaling>
          <c:orientation val="minMax"/>
          <c:max val="4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8515600"/>
        <c:crosses val="autoZero"/>
        <c:crossBetween val="between"/>
        <c:majorUnit val="50"/>
        <c:minorUnit val="50"/>
      </c:valAx>
      <c:spPr>
        <a:solidFill>
          <a:schemeClr val="bg1">
            <a:lumMod val="75000"/>
          </a:schemeClr>
        </a:solidFill>
        <a:ln w="12700">
          <a:solidFill>
            <a:srgbClr val="808080"/>
          </a:solidFill>
          <a:prstDash val="solid"/>
        </a:ln>
      </c:spPr>
    </c:plotArea>
    <c:legend>
      <c:legendPos val="r"/>
      <c:layout>
        <c:manualLayout>
          <c:xMode val="edge"/>
          <c:yMode val="edge"/>
          <c:x val="5.8432533703669701E-2"/>
          <c:y val="5.47604430802082E-2"/>
          <c:w val="0.87314855817731596"/>
          <c:h val="3.0419261706650831E-2"/>
        </c:manualLayout>
      </c:layout>
      <c:overlay val="0"/>
      <c:spPr>
        <a:solidFill>
          <a:srgbClr val="BFBFB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n-US"/>
    </a:p>
  </c:txPr>
  <c:printSettings>
    <c:headerFooter>
      <c:oddHeader>&amp;C&amp;"Arial,Bold"&amp;16The MID Report: Line Graphs
&amp;"Arial,Italic"&amp;12Version 5.0 (Mac): April 21, 2020&amp;"Arial,Bold"
</c:oddHeader>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MID Diagnostic Graph</a:t>
            </a:r>
          </a:p>
        </c:rich>
      </c:tx>
      <c:layout>
        <c:manualLayout>
          <c:xMode val="edge"/>
          <c:yMode val="edge"/>
          <c:x val="0.39209456706058599"/>
          <c:y val="1.5919015797678501E-2"/>
        </c:manualLayout>
      </c:layout>
      <c:overlay val="0"/>
      <c:spPr>
        <a:noFill/>
        <a:ln w="25400">
          <a:noFill/>
        </a:ln>
      </c:spPr>
    </c:title>
    <c:autoTitleDeleted val="0"/>
    <c:plotArea>
      <c:layout>
        <c:manualLayout>
          <c:layoutTarget val="inner"/>
          <c:xMode val="edge"/>
          <c:yMode val="edge"/>
          <c:x val="0.47303524499845467"/>
          <c:y val="0.11709480003118422"/>
          <c:w val="0.49917915794217355"/>
          <c:h val="0.8646660364855383"/>
        </c:manualLayout>
      </c:layout>
      <c:barChart>
        <c:barDir val="bar"/>
        <c:grouping val="clustered"/>
        <c:varyColors val="0"/>
        <c:ser>
          <c:idx val="0"/>
          <c:order val="0"/>
          <c:tx>
            <c:strRef>
              <c:f>Calculations!$D$347</c:f>
              <c:strCache>
                <c:ptCount val="1"/>
                <c:pt idx="0">
                  <c:v>Test-taker</c:v>
                </c:pt>
              </c:strCache>
            </c:strRef>
          </c:tx>
          <c:spPr>
            <a:solidFill>
              <a:srgbClr val="0432FF"/>
            </a:solidFill>
            <a:ln w="12700">
              <a:solidFill>
                <a:srgbClr val="000000"/>
              </a:solidFill>
              <a:prstDash val="solid"/>
            </a:ln>
          </c:spPr>
          <c:invertIfNegative val="0"/>
          <c:cat>
            <c:strRef>
              <c:f>Calculations!$C$348:$C$383</c:f>
              <c:strCache>
                <c:ptCount val="36"/>
                <c:pt idx="0">
                  <c:v>VALIDITY &amp; CHARACTEROLOGICAL SCALES</c:v>
                </c:pt>
                <c:pt idx="1">
                  <c:v>Defensiveness / Minimization</c:v>
                </c:pt>
                <c:pt idx="2">
                  <c:v>Emotional Suffering</c:v>
                </c:pt>
                <c:pt idx="3">
                  <c:v>Attention-Seeking Behavior</c:v>
                </c:pt>
                <c:pt idx="4">
                  <c:v>Rare Symptoms</c:v>
                </c:pt>
                <c:pt idx="5">
                  <c:v>Factitious Behavior</c:v>
                </c:pt>
                <c:pt idx="6">
                  <c:v>BPD Index</c:v>
                </c:pt>
                <c:pt idx="8">
                  <c:v>GENERAL PT DISSOCIATIVE SYMPTOMS</c:v>
                </c:pt>
                <c:pt idx="9">
                  <c:v>Memory Problems</c:v>
                </c:pt>
                <c:pt idx="10">
                  <c:v>Depersonalization</c:v>
                </c:pt>
                <c:pt idx="11">
                  <c:v>Derealization</c:v>
                </c:pt>
                <c:pt idx="12">
                  <c:v>Flashbacks</c:v>
                </c:pt>
                <c:pt idx="13">
                  <c:v>Somatoform Symptoms</c:v>
                </c:pt>
                <c:pt idx="14">
                  <c:v>Trance</c:v>
                </c:pt>
                <c:pt idx="16">
                  <c:v>PARTIALLY-DISSOCIATED INTRUSIONS</c:v>
                </c:pt>
                <c:pt idx="17">
                  <c:v>Child Voices</c:v>
                </c:pt>
                <c:pt idx="18">
                  <c:v>Voices / Internal Struggle</c:v>
                </c:pt>
                <c:pt idx="19">
                  <c:v>Persecutory Voices</c:v>
                </c:pt>
                <c:pt idx="20">
                  <c:v>Speech Insertion</c:v>
                </c:pt>
                <c:pt idx="21">
                  <c:v>Thought Insertion</c:v>
                </c:pt>
                <c:pt idx="22">
                  <c:v>'Made' / Intrusive Emotions</c:v>
                </c:pt>
                <c:pt idx="23">
                  <c:v>'Made' / Intrusive Impulses</c:v>
                </c:pt>
                <c:pt idx="24">
                  <c:v>'Made' / Intrusive Actions</c:v>
                </c:pt>
                <c:pt idx="25">
                  <c:v>Temporary Loss of Knowledge</c:v>
                </c:pt>
                <c:pt idx="26">
                  <c:v>Experiences of Self-Alteration</c:v>
                </c:pt>
                <c:pt idx="27">
                  <c:v>Puzzlement about Oneself</c:v>
                </c:pt>
                <c:pt idx="29">
                  <c:v>FULLY-DISSOCIATED ACTIONS (AMNESIA)</c:v>
                </c:pt>
                <c:pt idx="30">
                  <c:v>Time Loss</c:v>
                </c:pt>
                <c:pt idx="31">
                  <c:v>"Coming to"</c:v>
                </c:pt>
                <c:pt idx="32">
                  <c:v>Fugues</c:v>
                </c:pt>
                <c:pt idx="33">
                  <c:v>Being Told of Disremembered Actions</c:v>
                </c:pt>
                <c:pt idx="34">
                  <c:v>Finding Objects Among Possessions</c:v>
                </c:pt>
                <c:pt idx="35">
                  <c:v>Finding Evidence of One's Actions</c:v>
                </c:pt>
              </c:strCache>
            </c:strRef>
          </c:cat>
          <c:val>
            <c:numRef>
              <c:f>Calculations!$D$348:$D$383</c:f>
              <c:numCache>
                <c:formatCode>0.00</c:formatCode>
                <c:ptCount val="36"/>
                <c:pt idx="1">
                  <c:v>142.85714285714286</c:v>
                </c:pt>
                <c:pt idx="2">
                  <c:v>0</c:v>
                </c:pt>
                <c:pt idx="3">
                  <c:v>0</c:v>
                </c:pt>
                <c:pt idx="4">
                  <c:v>0</c:v>
                </c:pt>
                <c:pt idx="5">
                  <c:v>0</c:v>
                </c:pt>
                <c:pt idx="6">
                  <c:v>0</c:v>
                </c:pt>
                <c:pt idx="9">
                  <c:v>0</c:v>
                </c:pt>
                <c:pt idx="10">
                  <c:v>0</c:v>
                </c:pt>
                <c:pt idx="11">
                  <c:v>0</c:v>
                </c:pt>
                <c:pt idx="12">
                  <c:v>0</c:v>
                </c:pt>
                <c:pt idx="13">
                  <c:v>0</c:v>
                </c:pt>
                <c:pt idx="14">
                  <c:v>0</c:v>
                </c:pt>
                <c:pt idx="17">
                  <c:v>0</c:v>
                </c:pt>
                <c:pt idx="18">
                  <c:v>0</c:v>
                </c:pt>
                <c:pt idx="19">
                  <c:v>0</c:v>
                </c:pt>
                <c:pt idx="20">
                  <c:v>0</c:v>
                </c:pt>
                <c:pt idx="21">
                  <c:v>0</c:v>
                </c:pt>
                <c:pt idx="22">
                  <c:v>0</c:v>
                </c:pt>
                <c:pt idx="23">
                  <c:v>0</c:v>
                </c:pt>
                <c:pt idx="24">
                  <c:v>0</c:v>
                </c:pt>
                <c:pt idx="25">
                  <c:v>0</c:v>
                </c:pt>
                <c:pt idx="26">
                  <c:v>0</c:v>
                </c:pt>
                <c:pt idx="27">
                  <c:v>0</c:v>
                </c:pt>
                <c:pt idx="30">
                  <c:v>0</c:v>
                </c:pt>
                <c:pt idx="31">
                  <c:v>0</c:v>
                </c:pt>
                <c:pt idx="32">
                  <c:v>0</c:v>
                </c:pt>
                <c:pt idx="33">
                  <c:v>0</c:v>
                </c:pt>
                <c:pt idx="34">
                  <c:v>0</c:v>
                </c:pt>
                <c:pt idx="35">
                  <c:v>0</c:v>
                </c:pt>
              </c:numCache>
            </c:numRef>
          </c:val>
          <c:extLst>
            <c:ext xmlns:c16="http://schemas.microsoft.com/office/drawing/2014/chart" uri="{C3380CC4-5D6E-409C-BE32-E72D297353CC}">
              <c16:uniqueId val="{00000000-C794-BC44-8DA5-A00139AA5A51}"/>
            </c:ext>
          </c:extLst>
        </c:ser>
        <c:ser>
          <c:idx val="1"/>
          <c:order val="1"/>
          <c:tx>
            <c:strRef>
              <c:f>Calculations!$E$347</c:f>
              <c:strCache>
                <c:ptCount val="1"/>
                <c:pt idx="0">
                  <c:v>Nondissociative</c:v>
                </c:pt>
              </c:strCache>
            </c:strRef>
          </c:tx>
          <c:spPr>
            <a:pattFill prst="wdUpDiag">
              <a:fgClr>
                <a:srgbClr val="FF00FF"/>
              </a:fgClr>
              <a:bgClr>
                <a:srgbClr val="FFCBFF"/>
              </a:bgClr>
            </a:pattFill>
            <a:ln w="12700">
              <a:solidFill>
                <a:srgbClr val="000000"/>
              </a:solidFill>
              <a:prstDash val="solid"/>
            </a:ln>
          </c:spPr>
          <c:invertIfNegative val="0"/>
          <c:cat>
            <c:strRef>
              <c:f>Calculations!$C$348:$C$383</c:f>
              <c:strCache>
                <c:ptCount val="36"/>
                <c:pt idx="0">
                  <c:v>VALIDITY &amp; CHARACTEROLOGICAL SCALES</c:v>
                </c:pt>
                <c:pt idx="1">
                  <c:v>Defensiveness / Minimization</c:v>
                </c:pt>
                <c:pt idx="2">
                  <c:v>Emotional Suffering</c:v>
                </c:pt>
                <c:pt idx="3">
                  <c:v>Attention-Seeking Behavior</c:v>
                </c:pt>
                <c:pt idx="4">
                  <c:v>Rare Symptoms</c:v>
                </c:pt>
                <c:pt idx="5">
                  <c:v>Factitious Behavior</c:v>
                </c:pt>
                <c:pt idx="6">
                  <c:v>BPD Index</c:v>
                </c:pt>
                <c:pt idx="8">
                  <c:v>GENERAL PT DISSOCIATIVE SYMPTOMS</c:v>
                </c:pt>
                <c:pt idx="9">
                  <c:v>Memory Problems</c:v>
                </c:pt>
                <c:pt idx="10">
                  <c:v>Depersonalization</c:v>
                </c:pt>
                <c:pt idx="11">
                  <c:v>Derealization</c:v>
                </c:pt>
                <c:pt idx="12">
                  <c:v>Flashbacks</c:v>
                </c:pt>
                <c:pt idx="13">
                  <c:v>Somatoform Symptoms</c:v>
                </c:pt>
                <c:pt idx="14">
                  <c:v>Trance</c:v>
                </c:pt>
                <c:pt idx="16">
                  <c:v>PARTIALLY-DISSOCIATED INTRUSIONS</c:v>
                </c:pt>
                <c:pt idx="17">
                  <c:v>Child Voices</c:v>
                </c:pt>
                <c:pt idx="18">
                  <c:v>Voices / Internal Struggle</c:v>
                </c:pt>
                <c:pt idx="19">
                  <c:v>Persecutory Voices</c:v>
                </c:pt>
                <c:pt idx="20">
                  <c:v>Speech Insertion</c:v>
                </c:pt>
                <c:pt idx="21">
                  <c:v>Thought Insertion</c:v>
                </c:pt>
                <c:pt idx="22">
                  <c:v>'Made' / Intrusive Emotions</c:v>
                </c:pt>
                <c:pt idx="23">
                  <c:v>'Made' / Intrusive Impulses</c:v>
                </c:pt>
                <c:pt idx="24">
                  <c:v>'Made' / Intrusive Actions</c:v>
                </c:pt>
                <c:pt idx="25">
                  <c:v>Temporary Loss of Knowledge</c:v>
                </c:pt>
                <c:pt idx="26">
                  <c:v>Experiences of Self-Alteration</c:v>
                </c:pt>
                <c:pt idx="27">
                  <c:v>Puzzlement about Oneself</c:v>
                </c:pt>
                <c:pt idx="29">
                  <c:v>FULLY-DISSOCIATED ACTIONS (AMNESIA)</c:v>
                </c:pt>
                <c:pt idx="30">
                  <c:v>Time Loss</c:v>
                </c:pt>
                <c:pt idx="31">
                  <c:v>"Coming to"</c:v>
                </c:pt>
                <c:pt idx="32">
                  <c:v>Fugues</c:v>
                </c:pt>
                <c:pt idx="33">
                  <c:v>Being Told of Disremembered Actions</c:v>
                </c:pt>
                <c:pt idx="34">
                  <c:v>Finding Objects Among Possessions</c:v>
                </c:pt>
                <c:pt idx="35">
                  <c:v>Finding Evidence of One's Actions</c:v>
                </c:pt>
              </c:strCache>
            </c:strRef>
          </c:cat>
          <c:val>
            <c:numRef>
              <c:f>Calculations!$E$348:$E$383</c:f>
              <c:numCache>
                <c:formatCode>General</c:formatCode>
                <c:ptCount val="36"/>
                <c:pt idx="1">
                  <c:v>91</c:v>
                </c:pt>
                <c:pt idx="2">
                  <c:v>40</c:v>
                </c:pt>
                <c:pt idx="3">
                  <c:v>47</c:v>
                </c:pt>
                <c:pt idx="4">
                  <c:v>4</c:v>
                </c:pt>
                <c:pt idx="5">
                  <c:v>14</c:v>
                </c:pt>
                <c:pt idx="6">
                  <c:v>29.9</c:v>
                </c:pt>
                <c:pt idx="9">
                  <c:v>46.5</c:v>
                </c:pt>
                <c:pt idx="10">
                  <c:v>33.299999999999997</c:v>
                </c:pt>
                <c:pt idx="11">
                  <c:v>41.8</c:v>
                </c:pt>
                <c:pt idx="12">
                  <c:v>41.8</c:v>
                </c:pt>
                <c:pt idx="13">
                  <c:v>41.8</c:v>
                </c:pt>
                <c:pt idx="14">
                  <c:v>41.9</c:v>
                </c:pt>
                <c:pt idx="17">
                  <c:v>33.299999999999997</c:v>
                </c:pt>
                <c:pt idx="18">
                  <c:v>48.5</c:v>
                </c:pt>
                <c:pt idx="19">
                  <c:v>22</c:v>
                </c:pt>
                <c:pt idx="20">
                  <c:v>27.2</c:v>
                </c:pt>
                <c:pt idx="21">
                  <c:v>28.1</c:v>
                </c:pt>
                <c:pt idx="22">
                  <c:v>29.2</c:v>
                </c:pt>
                <c:pt idx="23">
                  <c:v>23.3</c:v>
                </c:pt>
                <c:pt idx="24">
                  <c:v>40.700000000000003</c:v>
                </c:pt>
                <c:pt idx="25">
                  <c:v>32.299999999999997</c:v>
                </c:pt>
                <c:pt idx="26">
                  <c:v>43.7</c:v>
                </c:pt>
                <c:pt idx="27">
                  <c:v>48.7</c:v>
                </c:pt>
                <c:pt idx="30">
                  <c:v>24.2</c:v>
                </c:pt>
                <c:pt idx="31">
                  <c:v>22.5</c:v>
                </c:pt>
                <c:pt idx="32">
                  <c:v>22.1</c:v>
                </c:pt>
                <c:pt idx="33">
                  <c:v>22.9</c:v>
                </c:pt>
                <c:pt idx="34">
                  <c:v>17.3</c:v>
                </c:pt>
                <c:pt idx="35">
                  <c:v>19.5</c:v>
                </c:pt>
              </c:numCache>
            </c:numRef>
          </c:val>
          <c:extLst>
            <c:ext xmlns:c16="http://schemas.microsoft.com/office/drawing/2014/chart" uri="{C3380CC4-5D6E-409C-BE32-E72D297353CC}">
              <c16:uniqueId val="{00000001-C794-BC44-8DA5-A00139AA5A51}"/>
            </c:ext>
          </c:extLst>
        </c:ser>
        <c:ser>
          <c:idx val="3"/>
          <c:order val="2"/>
          <c:tx>
            <c:strRef>
              <c:f>Calculations!$G$347</c:f>
              <c:strCache>
                <c:ptCount val="1"/>
                <c:pt idx="0">
                  <c:v>OSDD, Type 1a</c:v>
                </c:pt>
              </c:strCache>
            </c:strRef>
          </c:tx>
          <c:spPr>
            <a:solidFill>
              <a:srgbClr val="93CDDD"/>
            </a:solidFill>
            <a:ln w="12700">
              <a:solidFill>
                <a:srgbClr val="000000"/>
              </a:solidFill>
              <a:prstDash val="solid"/>
            </a:ln>
          </c:spPr>
          <c:invertIfNegative val="0"/>
          <c:cat>
            <c:strRef>
              <c:f>Calculations!$C$348:$C$383</c:f>
              <c:strCache>
                <c:ptCount val="36"/>
                <c:pt idx="0">
                  <c:v>VALIDITY &amp; CHARACTEROLOGICAL SCALES</c:v>
                </c:pt>
                <c:pt idx="1">
                  <c:v>Defensiveness / Minimization</c:v>
                </c:pt>
                <c:pt idx="2">
                  <c:v>Emotional Suffering</c:v>
                </c:pt>
                <c:pt idx="3">
                  <c:v>Attention-Seeking Behavior</c:v>
                </c:pt>
                <c:pt idx="4">
                  <c:v>Rare Symptoms</c:v>
                </c:pt>
                <c:pt idx="5">
                  <c:v>Factitious Behavior</c:v>
                </c:pt>
                <c:pt idx="6">
                  <c:v>BPD Index</c:v>
                </c:pt>
                <c:pt idx="8">
                  <c:v>GENERAL PT DISSOCIATIVE SYMPTOMS</c:v>
                </c:pt>
                <c:pt idx="9">
                  <c:v>Memory Problems</c:v>
                </c:pt>
                <c:pt idx="10">
                  <c:v>Depersonalization</c:v>
                </c:pt>
                <c:pt idx="11">
                  <c:v>Derealization</c:v>
                </c:pt>
                <c:pt idx="12">
                  <c:v>Flashbacks</c:v>
                </c:pt>
                <c:pt idx="13">
                  <c:v>Somatoform Symptoms</c:v>
                </c:pt>
                <c:pt idx="14">
                  <c:v>Trance</c:v>
                </c:pt>
                <c:pt idx="16">
                  <c:v>PARTIALLY-DISSOCIATED INTRUSIONS</c:v>
                </c:pt>
                <c:pt idx="17">
                  <c:v>Child Voices</c:v>
                </c:pt>
                <c:pt idx="18">
                  <c:v>Voices / Internal Struggle</c:v>
                </c:pt>
                <c:pt idx="19">
                  <c:v>Persecutory Voices</c:v>
                </c:pt>
                <c:pt idx="20">
                  <c:v>Speech Insertion</c:v>
                </c:pt>
                <c:pt idx="21">
                  <c:v>Thought Insertion</c:v>
                </c:pt>
                <c:pt idx="22">
                  <c:v>'Made' / Intrusive Emotions</c:v>
                </c:pt>
                <c:pt idx="23">
                  <c:v>'Made' / Intrusive Impulses</c:v>
                </c:pt>
                <c:pt idx="24">
                  <c:v>'Made' / Intrusive Actions</c:v>
                </c:pt>
                <c:pt idx="25">
                  <c:v>Temporary Loss of Knowledge</c:v>
                </c:pt>
                <c:pt idx="26">
                  <c:v>Experiences of Self-Alteration</c:v>
                </c:pt>
                <c:pt idx="27">
                  <c:v>Puzzlement about Oneself</c:v>
                </c:pt>
                <c:pt idx="29">
                  <c:v>FULLY-DISSOCIATED ACTIONS (AMNESIA)</c:v>
                </c:pt>
                <c:pt idx="30">
                  <c:v>Time Loss</c:v>
                </c:pt>
                <c:pt idx="31">
                  <c:v>"Coming to"</c:v>
                </c:pt>
                <c:pt idx="32">
                  <c:v>Fugues</c:v>
                </c:pt>
                <c:pt idx="33">
                  <c:v>Being Told of Disremembered Actions</c:v>
                </c:pt>
                <c:pt idx="34">
                  <c:v>Finding Objects Among Possessions</c:v>
                </c:pt>
                <c:pt idx="35">
                  <c:v>Finding Evidence of One's Actions</c:v>
                </c:pt>
              </c:strCache>
            </c:strRef>
          </c:cat>
          <c:val>
            <c:numRef>
              <c:f>Calculations!$G$348:$G$383</c:f>
              <c:numCache>
                <c:formatCode>General</c:formatCode>
                <c:ptCount val="36"/>
                <c:pt idx="1">
                  <c:v>70.98</c:v>
                </c:pt>
                <c:pt idx="2">
                  <c:v>63.92</c:v>
                </c:pt>
                <c:pt idx="3">
                  <c:v>39.31</c:v>
                </c:pt>
                <c:pt idx="4">
                  <c:v>5.79</c:v>
                </c:pt>
                <c:pt idx="5">
                  <c:v>14.29</c:v>
                </c:pt>
                <c:pt idx="6">
                  <c:v>28.6</c:v>
                </c:pt>
                <c:pt idx="9">
                  <c:v>175.5</c:v>
                </c:pt>
                <c:pt idx="10">
                  <c:v>187.5</c:v>
                </c:pt>
                <c:pt idx="11">
                  <c:v>191.9</c:v>
                </c:pt>
                <c:pt idx="12">
                  <c:v>165.5</c:v>
                </c:pt>
                <c:pt idx="13">
                  <c:v>130.6</c:v>
                </c:pt>
                <c:pt idx="14">
                  <c:v>160</c:v>
                </c:pt>
                <c:pt idx="17">
                  <c:v>180</c:v>
                </c:pt>
                <c:pt idx="18">
                  <c:v>197.5</c:v>
                </c:pt>
                <c:pt idx="19">
                  <c:v>140</c:v>
                </c:pt>
                <c:pt idx="20">
                  <c:v>91.3</c:v>
                </c:pt>
                <c:pt idx="21">
                  <c:v>120</c:v>
                </c:pt>
                <c:pt idx="22">
                  <c:v>117.5</c:v>
                </c:pt>
                <c:pt idx="23">
                  <c:v>95</c:v>
                </c:pt>
                <c:pt idx="24">
                  <c:v>158.1</c:v>
                </c:pt>
                <c:pt idx="25">
                  <c:v>126.3</c:v>
                </c:pt>
                <c:pt idx="26">
                  <c:v>177.5</c:v>
                </c:pt>
                <c:pt idx="27">
                  <c:v>204.2</c:v>
                </c:pt>
                <c:pt idx="30">
                  <c:v>118.8</c:v>
                </c:pt>
                <c:pt idx="31">
                  <c:v>101.3</c:v>
                </c:pt>
                <c:pt idx="32">
                  <c:v>102.5</c:v>
                </c:pt>
                <c:pt idx="33">
                  <c:v>90</c:v>
                </c:pt>
                <c:pt idx="34">
                  <c:v>80</c:v>
                </c:pt>
                <c:pt idx="35">
                  <c:v>87.5</c:v>
                </c:pt>
              </c:numCache>
            </c:numRef>
          </c:val>
          <c:extLst>
            <c:ext xmlns:c16="http://schemas.microsoft.com/office/drawing/2014/chart" uri="{C3380CC4-5D6E-409C-BE32-E72D297353CC}">
              <c16:uniqueId val="{00000003-C794-BC44-8DA5-A00139AA5A51}"/>
            </c:ext>
          </c:extLst>
        </c:ser>
        <c:ser>
          <c:idx val="2"/>
          <c:order val="3"/>
          <c:tx>
            <c:strRef>
              <c:f>Calculations!$F$347</c:f>
              <c:strCache>
                <c:ptCount val="1"/>
                <c:pt idx="0">
                  <c:v>DID</c:v>
                </c:pt>
              </c:strCache>
            </c:strRef>
          </c:tx>
          <c:spPr>
            <a:solidFill>
              <a:srgbClr val="FFF58C"/>
            </a:solidFill>
            <a:ln w="12700">
              <a:solidFill>
                <a:srgbClr val="000000"/>
              </a:solidFill>
              <a:prstDash val="solid"/>
            </a:ln>
          </c:spPr>
          <c:invertIfNegative val="0"/>
          <c:cat>
            <c:strRef>
              <c:f>Calculations!$C$348:$C$383</c:f>
              <c:strCache>
                <c:ptCount val="36"/>
                <c:pt idx="0">
                  <c:v>VALIDITY &amp; CHARACTEROLOGICAL SCALES</c:v>
                </c:pt>
                <c:pt idx="1">
                  <c:v>Defensiveness / Minimization</c:v>
                </c:pt>
                <c:pt idx="2">
                  <c:v>Emotional Suffering</c:v>
                </c:pt>
                <c:pt idx="3">
                  <c:v>Attention-Seeking Behavior</c:v>
                </c:pt>
                <c:pt idx="4">
                  <c:v>Rare Symptoms</c:v>
                </c:pt>
                <c:pt idx="5">
                  <c:v>Factitious Behavior</c:v>
                </c:pt>
                <c:pt idx="6">
                  <c:v>BPD Index</c:v>
                </c:pt>
                <c:pt idx="8">
                  <c:v>GENERAL PT DISSOCIATIVE SYMPTOMS</c:v>
                </c:pt>
                <c:pt idx="9">
                  <c:v>Memory Problems</c:v>
                </c:pt>
                <c:pt idx="10">
                  <c:v>Depersonalization</c:v>
                </c:pt>
                <c:pt idx="11">
                  <c:v>Derealization</c:v>
                </c:pt>
                <c:pt idx="12">
                  <c:v>Flashbacks</c:v>
                </c:pt>
                <c:pt idx="13">
                  <c:v>Somatoform Symptoms</c:v>
                </c:pt>
                <c:pt idx="14">
                  <c:v>Trance</c:v>
                </c:pt>
                <c:pt idx="16">
                  <c:v>PARTIALLY-DISSOCIATED INTRUSIONS</c:v>
                </c:pt>
                <c:pt idx="17">
                  <c:v>Child Voices</c:v>
                </c:pt>
                <c:pt idx="18">
                  <c:v>Voices / Internal Struggle</c:v>
                </c:pt>
                <c:pt idx="19">
                  <c:v>Persecutory Voices</c:v>
                </c:pt>
                <c:pt idx="20">
                  <c:v>Speech Insertion</c:v>
                </c:pt>
                <c:pt idx="21">
                  <c:v>Thought Insertion</c:v>
                </c:pt>
                <c:pt idx="22">
                  <c:v>'Made' / Intrusive Emotions</c:v>
                </c:pt>
                <c:pt idx="23">
                  <c:v>'Made' / Intrusive Impulses</c:v>
                </c:pt>
                <c:pt idx="24">
                  <c:v>'Made' / Intrusive Actions</c:v>
                </c:pt>
                <c:pt idx="25">
                  <c:v>Temporary Loss of Knowledge</c:v>
                </c:pt>
                <c:pt idx="26">
                  <c:v>Experiences of Self-Alteration</c:v>
                </c:pt>
                <c:pt idx="27">
                  <c:v>Puzzlement about Oneself</c:v>
                </c:pt>
                <c:pt idx="29">
                  <c:v>FULLY-DISSOCIATED ACTIONS (AMNESIA)</c:v>
                </c:pt>
                <c:pt idx="30">
                  <c:v>Time Loss</c:v>
                </c:pt>
                <c:pt idx="31">
                  <c:v>"Coming to"</c:v>
                </c:pt>
                <c:pt idx="32">
                  <c:v>Fugues</c:v>
                </c:pt>
                <c:pt idx="33">
                  <c:v>Being Told of Disremembered Actions</c:v>
                </c:pt>
                <c:pt idx="34">
                  <c:v>Finding Objects Among Possessions</c:v>
                </c:pt>
                <c:pt idx="35">
                  <c:v>Finding Evidence of One's Actions</c:v>
                </c:pt>
              </c:strCache>
            </c:strRef>
          </c:cat>
          <c:val>
            <c:numRef>
              <c:f>Calculations!$F$348:$F$383</c:f>
              <c:numCache>
                <c:formatCode>General</c:formatCode>
                <c:ptCount val="36"/>
                <c:pt idx="1">
                  <c:v>47.36</c:v>
                </c:pt>
                <c:pt idx="2">
                  <c:v>75.09</c:v>
                </c:pt>
                <c:pt idx="3">
                  <c:v>56.94</c:v>
                </c:pt>
                <c:pt idx="4">
                  <c:v>28.05</c:v>
                </c:pt>
                <c:pt idx="5">
                  <c:v>25.9</c:v>
                </c:pt>
                <c:pt idx="6">
                  <c:v>53.17</c:v>
                </c:pt>
                <c:pt idx="9">
                  <c:v>195.5</c:v>
                </c:pt>
                <c:pt idx="10">
                  <c:v>226.6</c:v>
                </c:pt>
                <c:pt idx="11">
                  <c:v>229.6</c:v>
                </c:pt>
                <c:pt idx="12">
                  <c:v>202.1</c:v>
                </c:pt>
                <c:pt idx="13">
                  <c:v>145.1</c:v>
                </c:pt>
                <c:pt idx="14">
                  <c:v>186.1</c:v>
                </c:pt>
                <c:pt idx="17">
                  <c:v>240.8</c:v>
                </c:pt>
                <c:pt idx="18">
                  <c:v>253.5</c:v>
                </c:pt>
                <c:pt idx="19">
                  <c:v>190.1</c:v>
                </c:pt>
                <c:pt idx="20">
                  <c:v>123.7</c:v>
                </c:pt>
                <c:pt idx="21">
                  <c:v>144.69999999999999</c:v>
                </c:pt>
                <c:pt idx="22">
                  <c:v>148.4</c:v>
                </c:pt>
                <c:pt idx="23">
                  <c:v>126.3</c:v>
                </c:pt>
                <c:pt idx="24">
                  <c:v>195.7</c:v>
                </c:pt>
                <c:pt idx="25">
                  <c:v>187.5</c:v>
                </c:pt>
                <c:pt idx="26">
                  <c:v>231.3</c:v>
                </c:pt>
                <c:pt idx="27">
                  <c:v>231.6</c:v>
                </c:pt>
                <c:pt idx="30">
                  <c:v>165.1</c:v>
                </c:pt>
                <c:pt idx="31">
                  <c:v>147.4</c:v>
                </c:pt>
                <c:pt idx="32">
                  <c:v>170.4</c:v>
                </c:pt>
                <c:pt idx="33">
                  <c:v>139.5</c:v>
                </c:pt>
                <c:pt idx="34">
                  <c:v>127.6</c:v>
                </c:pt>
                <c:pt idx="35">
                  <c:v>150</c:v>
                </c:pt>
              </c:numCache>
            </c:numRef>
          </c:val>
          <c:extLst>
            <c:ext xmlns:c16="http://schemas.microsoft.com/office/drawing/2014/chart" uri="{C3380CC4-5D6E-409C-BE32-E72D297353CC}">
              <c16:uniqueId val="{00000002-C794-BC44-8DA5-A00139AA5A51}"/>
            </c:ext>
          </c:extLst>
        </c:ser>
        <c:dLbls>
          <c:showLegendKey val="0"/>
          <c:showVal val="0"/>
          <c:showCatName val="0"/>
          <c:showSerName val="0"/>
          <c:showPercent val="0"/>
          <c:showBubbleSize val="0"/>
        </c:dLbls>
        <c:gapWidth val="100"/>
        <c:axId val="821264592"/>
        <c:axId val="815936224"/>
      </c:barChart>
      <c:catAx>
        <c:axId val="821264592"/>
        <c:scaling>
          <c:orientation val="maxMin"/>
        </c:scaling>
        <c:delete val="0"/>
        <c:axPos val="l"/>
        <c:majorGridlines>
          <c:spPr>
            <a:ln w="3175">
              <a:solidFill>
                <a:srgbClr val="868686"/>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5936224"/>
        <c:crossesAt val="0"/>
        <c:auto val="1"/>
        <c:lblAlgn val="ctr"/>
        <c:lblOffset val="100"/>
        <c:tickLblSkip val="1"/>
        <c:tickMarkSkip val="1"/>
        <c:noMultiLvlLbl val="0"/>
      </c:catAx>
      <c:valAx>
        <c:axId val="815936224"/>
        <c:scaling>
          <c:orientation val="minMax"/>
          <c:max val="350"/>
          <c:min val="0"/>
        </c:scaling>
        <c:delete val="0"/>
        <c:axPos val="t"/>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21264592"/>
        <c:crosses val="autoZero"/>
        <c:crossBetween val="between"/>
        <c:majorUnit val="50"/>
        <c:minorUnit val="50"/>
      </c:valAx>
      <c:spPr>
        <a:solidFill>
          <a:schemeClr val="bg1">
            <a:lumMod val="75000"/>
          </a:schemeClr>
        </a:solidFill>
        <a:ln w="12700">
          <a:solidFill>
            <a:srgbClr val="000000"/>
          </a:solidFill>
          <a:prstDash val="solid"/>
        </a:ln>
      </c:spPr>
    </c:plotArea>
    <c:legend>
      <c:legendPos val="r"/>
      <c:layout>
        <c:manualLayout>
          <c:xMode val="edge"/>
          <c:yMode val="edge"/>
          <c:x val="2.1680901064162372E-2"/>
          <c:y val="5.1459935906545295E-2"/>
          <c:w val="0.95024419593842002"/>
          <c:h val="2.5704540715512699E-2"/>
        </c:manualLayout>
      </c:layout>
      <c:overlay val="0"/>
      <c:spPr>
        <a:solidFill>
          <a:srgbClr val="BFBFB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0" b="0" i="0" u="none" strike="noStrike" baseline="0">
          <a:solidFill>
            <a:srgbClr val="000000"/>
          </a:solidFill>
          <a:latin typeface="Arial"/>
          <a:ea typeface="Arial"/>
          <a:cs typeface="Arial"/>
        </a:defRPr>
      </a:pPr>
      <a:endParaRPr lang="en-US"/>
    </a:p>
  </c:txPr>
  <c:printSettings>
    <c:headerFooter/>
    <c:pageMargins b="1" l="0.5" r="0.5" t="1" header="0.5" footer="0.5"/>
    <c:pageSetup orientation="landscape" horizontalDpi="300" verticalDpi="3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152400</xdr:rowOff>
    </xdr:from>
    <xdr:to>
      <xdr:col>11</xdr:col>
      <xdr:colOff>127000</xdr:colOff>
      <xdr:row>47</xdr:row>
      <xdr:rowOff>152400</xdr:rowOff>
    </xdr:to>
    <xdr:graphicFrame macro="">
      <xdr:nvGraphicFramePr>
        <xdr:cNvPr id="8809" name="Chart 1026">
          <a:extLst>
            <a:ext uri="{FF2B5EF4-FFF2-40B4-BE49-F238E27FC236}">
              <a16:creationId xmlns:a16="http://schemas.microsoft.com/office/drawing/2014/main" id="{00000000-0008-0000-0300-0000692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101600</xdr:colOff>
      <xdr:row>49</xdr:row>
      <xdr:rowOff>152399</xdr:rowOff>
    </xdr:from>
    <xdr:to>
      <xdr:col>11</xdr:col>
      <xdr:colOff>127000</xdr:colOff>
      <xdr:row>99</xdr:row>
      <xdr:rowOff>728133</xdr:rowOff>
    </xdr:to>
    <xdr:graphicFrame macro="">
      <xdr:nvGraphicFramePr>
        <xdr:cNvPr id="8810" name="Chart 1028">
          <a:extLst>
            <a:ext uri="{FF2B5EF4-FFF2-40B4-BE49-F238E27FC236}">
              <a16:creationId xmlns:a16="http://schemas.microsoft.com/office/drawing/2014/main" id="{00000000-0008-0000-0300-00006A2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99060</xdr:colOff>
      <xdr:row>100</xdr:row>
      <xdr:rowOff>144490</xdr:rowOff>
    </xdr:from>
    <xdr:to>
      <xdr:col>11</xdr:col>
      <xdr:colOff>137160</xdr:colOff>
      <xdr:row>159</xdr:row>
      <xdr:rowOff>88899</xdr:rowOff>
    </xdr:to>
    <xdr:graphicFrame macro="">
      <xdr:nvGraphicFramePr>
        <xdr:cNvPr id="8811" name="Chart 1030">
          <a:extLst>
            <a:ext uri="{FF2B5EF4-FFF2-40B4-BE49-F238E27FC236}">
              <a16:creationId xmlns:a16="http://schemas.microsoft.com/office/drawing/2014/main" id="{00000000-0008-0000-0300-00006B2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101600</xdr:colOff>
      <xdr:row>161</xdr:row>
      <xdr:rowOff>0</xdr:rowOff>
    </xdr:from>
    <xdr:to>
      <xdr:col>11</xdr:col>
      <xdr:colOff>139700</xdr:colOff>
      <xdr:row>220</xdr:row>
      <xdr:rowOff>160867</xdr:rowOff>
    </xdr:to>
    <xdr:graphicFrame macro="">
      <xdr:nvGraphicFramePr>
        <xdr:cNvPr id="8812" name="Chart 1032">
          <a:extLst>
            <a:ext uri="{FF2B5EF4-FFF2-40B4-BE49-F238E27FC236}">
              <a16:creationId xmlns:a16="http://schemas.microsoft.com/office/drawing/2014/main" id="{00000000-0008-0000-0300-00006C2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91440</xdr:colOff>
      <xdr:row>240</xdr:row>
      <xdr:rowOff>6928</xdr:rowOff>
    </xdr:from>
    <xdr:to>
      <xdr:col>11</xdr:col>
      <xdr:colOff>129540</xdr:colOff>
      <xdr:row>283</xdr:row>
      <xdr:rowOff>139700</xdr:rowOff>
    </xdr:to>
    <xdr:graphicFrame macro="">
      <xdr:nvGraphicFramePr>
        <xdr:cNvPr id="7" name="Chart 1032">
          <a:extLst>
            <a:ext uri="{FF2B5EF4-FFF2-40B4-BE49-F238E27FC236}">
              <a16:creationId xmlns:a16="http://schemas.microsoft.com/office/drawing/2014/main" id="{75C6D2DD-7FF4-8043-8AA9-80DB51A522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105635</xdr:colOff>
      <xdr:row>222</xdr:row>
      <xdr:rowOff>84887</xdr:rowOff>
    </xdr:from>
    <xdr:to>
      <xdr:col>5</xdr:col>
      <xdr:colOff>486636</xdr:colOff>
      <xdr:row>239</xdr:row>
      <xdr:rowOff>79666</xdr:rowOff>
    </xdr:to>
    <xdr:graphicFrame macro="">
      <xdr:nvGraphicFramePr>
        <xdr:cNvPr id="3" name="Chart 2">
          <a:extLst>
            <a:ext uri="{FF2B5EF4-FFF2-40B4-BE49-F238E27FC236}">
              <a16:creationId xmlns:a16="http://schemas.microsoft.com/office/drawing/2014/main" id="{5DB15B61-8ECD-1D48-9DFB-F0547383C9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609600</xdr:colOff>
      <xdr:row>222</xdr:row>
      <xdr:rowOff>83820</xdr:rowOff>
    </xdr:from>
    <xdr:to>
      <xdr:col>11</xdr:col>
      <xdr:colOff>127001</xdr:colOff>
      <xdr:row>239</xdr:row>
      <xdr:rowOff>78599</xdr:rowOff>
    </xdr:to>
    <xdr:graphicFrame macro="">
      <xdr:nvGraphicFramePr>
        <xdr:cNvPr id="10" name="Chart 9">
          <a:extLst>
            <a:ext uri="{FF2B5EF4-FFF2-40B4-BE49-F238E27FC236}">
              <a16:creationId xmlns:a16="http://schemas.microsoft.com/office/drawing/2014/main" id="{4CECEF0E-6D07-EA4C-8E14-F047CA3034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98381</xdr:colOff>
      <xdr:row>284</xdr:row>
      <xdr:rowOff>116268</xdr:rowOff>
    </xdr:from>
    <xdr:to>
      <xdr:col>11</xdr:col>
      <xdr:colOff>136481</xdr:colOff>
      <xdr:row>337</xdr:row>
      <xdr:rowOff>83736</xdr:rowOff>
    </xdr:to>
    <xdr:graphicFrame macro="">
      <xdr:nvGraphicFramePr>
        <xdr:cNvPr id="9" name="Chart 1032">
          <a:extLst>
            <a:ext uri="{FF2B5EF4-FFF2-40B4-BE49-F238E27FC236}">
              <a16:creationId xmlns:a16="http://schemas.microsoft.com/office/drawing/2014/main" id="{1EB4DD2D-8812-2345-B5A7-57CEC8EFBC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155965</xdr:colOff>
      <xdr:row>65</xdr:row>
      <xdr:rowOff>3119</xdr:rowOff>
    </xdr:from>
    <xdr:to>
      <xdr:col>12</xdr:col>
      <xdr:colOff>501316</xdr:colOff>
      <xdr:row>127</xdr:row>
      <xdr:rowOff>0</xdr:rowOff>
    </xdr:to>
    <xdr:graphicFrame macro="">
      <xdr:nvGraphicFramePr>
        <xdr:cNvPr id="10857" name="Chart 2">
          <a:extLst>
            <a:ext uri="{FF2B5EF4-FFF2-40B4-BE49-F238E27FC236}">
              <a16:creationId xmlns:a16="http://schemas.microsoft.com/office/drawing/2014/main" id="{00000000-0008-0000-0400-0000692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144825</xdr:colOff>
      <xdr:row>129</xdr:row>
      <xdr:rowOff>3119</xdr:rowOff>
    </xdr:from>
    <xdr:to>
      <xdr:col>12</xdr:col>
      <xdr:colOff>512456</xdr:colOff>
      <xdr:row>190</xdr:row>
      <xdr:rowOff>144824</xdr:rowOff>
    </xdr:to>
    <xdr:graphicFrame macro="">
      <xdr:nvGraphicFramePr>
        <xdr:cNvPr id="10858" name="Chart 4">
          <a:extLst>
            <a:ext uri="{FF2B5EF4-FFF2-40B4-BE49-F238E27FC236}">
              <a16:creationId xmlns:a16="http://schemas.microsoft.com/office/drawing/2014/main" id="{00000000-0008-0000-0400-00006A2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190500</xdr:colOff>
      <xdr:row>193</xdr:row>
      <xdr:rowOff>12700</xdr:rowOff>
    </xdr:from>
    <xdr:to>
      <xdr:col>12</xdr:col>
      <xdr:colOff>467895</xdr:colOff>
      <xdr:row>255</xdr:row>
      <xdr:rowOff>0</xdr:rowOff>
    </xdr:to>
    <xdr:graphicFrame macro="">
      <xdr:nvGraphicFramePr>
        <xdr:cNvPr id="10859" name="Chart 7">
          <a:extLst>
            <a:ext uri="{FF2B5EF4-FFF2-40B4-BE49-F238E27FC236}">
              <a16:creationId xmlns:a16="http://schemas.microsoft.com/office/drawing/2014/main" id="{00000000-0008-0000-0400-00006B2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167104</xdr:colOff>
      <xdr:row>1</xdr:row>
      <xdr:rowOff>10025</xdr:rowOff>
    </xdr:from>
    <xdr:to>
      <xdr:col>12</xdr:col>
      <xdr:colOff>479035</xdr:colOff>
      <xdr:row>62</xdr:row>
      <xdr:rowOff>155965</xdr:rowOff>
    </xdr:to>
    <xdr:graphicFrame macro="">
      <xdr:nvGraphicFramePr>
        <xdr:cNvPr id="7" name="Chart 1">
          <a:extLst>
            <a:ext uri="{FF2B5EF4-FFF2-40B4-BE49-F238E27FC236}">
              <a16:creationId xmlns:a16="http://schemas.microsoft.com/office/drawing/2014/main" id="{E17400B4-4DC6-B040-B900-8FE809FD6C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111405</xdr:colOff>
      <xdr:row>275</xdr:row>
      <xdr:rowOff>11141</xdr:rowOff>
    </xdr:from>
    <xdr:to>
      <xdr:col>12</xdr:col>
      <xdr:colOff>523597</xdr:colOff>
      <xdr:row>318</xdr:row>
      <xdr:rowOff>160905</xdr:rowOff>
    </xdr:to>
    <xdr:graphicFrame macro="">
      <xdr:nvGraphicFramePr>
        <xdr:cNvPr id="9" name="Chart 1032">
          <a:extLst>
            <a:ext uri="{FF2B5EF4-FFF2-40B4-BE49-F238E27FC236}">
              <a16:creationId xmlns:a16="http://schemas.microsoft.com/office/drawing/2014/main" id="{E409D9FD-6894-3D46-AE05-3A67B7DC9F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144824</xdr:colOff>
      <xdr:row>320</xdr:row>
      <xdr:rowOff>166793</xdr:rowOff>
    </xdr:from>
    <xdr:to>
      <xdr:col>12</xdr:col>
      <xdr:colOff>512455</xdr:colOff>
      <xdr:row>383</xdr:row>
      <xdr:rowOff>0</xdr:rowOff>
    </xdr:to>
    <xdr:graphicFrame macro="">
      <xdr:nvGraphicFramePr>
        <xdr:cNvPr id="10" name="Chart 1032">
          <a:extLst>
            <a:ext uri="{FF2B5EF4-FFF2-40B4-BE49-F238E27FC236}">
              <a16:creationId xmlns:a16="http://schemas.microsoft.com/office/drawing/2014/main" id="{83813B22-8C25-3140-A0AE-FB652D45FB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119810</xdr:colOff>
      <xdr:row>258</xdr:row>
      <xdr:rowOff>13049</xdr:rowOff>
    </xdr:from>
    <xdr:to>
      <xdr:col>5</xdr:col>
      <xdr:colOff>488199</xdr:colOff>
      <xdr:row>274</xdr:row>
      <xdr:rowOff>83678</xdr:rowOff>
    </xdr:to>
    <xdr:graphicFrame macro="">
      <xdr:nvGraphicFramePr>
        <xdr:cNvPr id="2" name="Chart 1">
          <a:extLst>
            <a:ext uri="{FF2B5EF4-FFF2-40B4-BE49-F238E27FC236}">
              <a16:creationId xmlns:a16="http://schemas.microsoft.com/office/drawing/2014/main" id="{514466B5-B845-5B43-8D99-CC66195EBE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179840</xdr:colOff>
      <xdr:row>258</xdr:row>
      <xdr:rowOff>11982</xdr:rowOff>
    </xdr:from>
    <xdr:to>
      <xdr:col>12</xdr:col>
      <xdr:colOff>532047</xdr:colOff>
      <xdr:row>274</xdr:row>
      <xdr:rowOff>82611</xdr:rowOff>
    </xdr:to>
    <xdr:graphicFrame macro="">
      <xdr:nvGraphicFramePr>
        <xdr:cNvPr id="3" name="Chart 2">
          <a:extLst>
            <a:ext uri="{FF2B5EF4-FFF2-40B4-BE49-F238E27FC236}">
              <a16:creationId xmlns:a16="http://schemas.microsoft.com/office/drawing/2014/main" id="{24C9D9F8-30A1-AD46-8EBC-6780C2455C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31"/>
  <sheetViews>
    <sheetView showGridLines="0" showRowColHeaders="0" tabSelected="1" zoomScale="140" zoomScaleNormal="140" zoomScalePageLayoutView="140" workbookViewId="0">
      <pane ySplit="1" topLeftCell="A2" activePane="bottomLeft" state="frozen"/>
      <selection pane="bottomLeft" activeCell="B3" sqref="B3:C3"/>
    </sheetView>
  </sheetViews>
  <sheetFormatPr baseColWidth="10" defaultColWidth="9.33203125" defaultRowHeight="13" x14ac:dyDescent="0.15"/>
  <cols>
    <col min="1" max="1" width="10.1640625" style="2" customWidth="1"/>
    <col min="2" max="2" width="11.6640625" style="36" customWidth="1"/>
    <col min="3" max="3" width="102.6640625" style="3" customWidth="1"/>
    <col min="4" max="4" width="5.6640625" style="3" hidden="1" customWidth="1"/>
    <col min="5" max="16384" width="9.33203125" style="3"/>
  </cols>
  <sheetData>
    <row r="1" spans="1:4" s="6" customFormat="1" ht="99" thickBot="1" x14ac:dyDescent="0.2">
      <c r="A1" s="11" t="s">
        <v>770</v>
      </c>
      <c r="B1" s="11" t="s">
        <v>139</v>
      </c>
      <c r="C1" s="10" t="s">
        <v>771</v>
      </c>
    </row>
    <row r="2" spans="1:4" s="6" customFormat="1" x14ac:dyDescent="0.15">
      <c r="A2" s="78"/>
      <c r="B2" s="79"/>
      <c r="C2" s="80"/>
    </row>
    <row r="3" spans="1:4" s="6" customFormat="1" ht="14" x14ac:dyDescent="0.15">
      <c r="A3" s="561" t="s">
        <v>397</v>
      </c>
      <c r="B3" s="680"/>
      <c r="C3" s="681"/>
    </row>
    <row r="4" spans="1:4" s="6" customFormat="1" ht="14" x14ac:dyDescent="0.15">
      <c r="A4" s="561" t="s">
        <v>344</v>
      </c>
      <c r="B4" s="678"/>
      <c r="C4" s="81"/>
    </row>
    <row r="5" spans="1:4" s="6" customFormat="1" ht="14" x14ac:dyDescent="0.15">
      <c r="A5" s="561" t="s">
        <v>345</v>
      </c>
      <c r="B5" s="679"/>
      <c r="C5" s="82"/>
    </row>
    <row r="6" spans="1:4" s="6" customFormat="1" ht="14" x14ac:dyDescent="0.15">
      <c r="A6" s="561" t="s">
        <v>346</v>
      </c>
      <c r="B6" s="601"/>
      <c r="C6" s="82"/>
    </row>
    <row r="7" spans="1:4" s="6" customFormat="1" ht="14" x14ac:dyDescent="0.15">
      <c r="A7" s="561" t="s">
        <v>347</v>
      </c>
      <c r="B7" s="679"/>
      <c r="C7" s="82"/>
    </row>
    <row r="8" spans="1:4" s="6" customFormat="1" ht="14" x14ac:dyDescent="0.15">
      <c r="A8" s="562" t="s">
        <v>348</v>
      </c>
      <c r="B8" s="679"/>
      <c r="C8" s="83"/>
    </row>
    <row r="9" spans="1:4" s="6" customFormat="1" ht="28" x14ac:dyDescent="0.15">
      <c r="A9" s="84"/>
      <c r="B9" s="560" t="s">
        <v>5</v>
      </c>
      <c r="C9" s="677"/>
    </row>
    <row r="10" spans="1:4" s="6" customFormat="1" ht="14" customHeight="1" x14ac:dyDescent="0.15">
      <c r="A10" s="85"/>
      <c r="B10" s="685" t="s">
        <v>381</v>
      </c>
      <c r="C10" s="682"/>
    </row>
    <row r="11" spans="1:4" s="6" customFormat="1" x14ac:dyDescent="0.15">
      <c r="A11" s="85"/>
      <c r="B11" s="686"/>
      <c r="C11" s="683"/>
    </row>
    <row r="12" spans="1:4" ht="14" thickBot="1" x14ac:dyDescent="0.2">
      <c r="A12" s="86"/>
      <c r="B12" s="687"/>
      <c r="C12" s="684"/>
    </row>
    <row r="13" spans="1:4" ht="16" customHeight="1" x14ac:dyDescent="0.15">
      <c r="A13" s="25">
        <v>1</v>
      </c>
      <c r="B13" s="602"/>
      <c r="C13" s="7" t="s">
        <v>140</v>
      </c>
      <c r="D13" s="21">
        <f>IF(B13=10,1,0)</f>
        <v>0</v>
      </c>
    </row>
    <row r="14" spans="1:4" ht="16" customHeight="1" x14ac:dyDescent="0.15">
      <c r="A14" s="26">
        <v>2</v>
      </c>
      <c r="B14" s="603"/>
      <c r="C14" s="8" t="s">
        <v>141</v>
      </c>
      <c r="D14" s="21">
        <f t="shared" ref="D14:D77" si="0">IF(B14=10,1,0)</f>
        <v>0</v>
      </c>
    </row>
    <row r="15" spans="1:4" ht="16" customHeight="1" x14ac:dyDescent="0.15">
      <c r="A15" s="26">
        <v>3</v>
      </c>
      <c r="B15" s="602"/>
      <c r="C15" s="8" t="s">
        <v>142</v>
      </c>
      <c r="D15" s="21">
        <f t="shared" si="0"/>
        <v>0</v>
      </c>
    </row>
    <row r="16" spans="1:4" ht="16" customHeight="1" x14ac:dyDescent="0.15">
      <c r="A16" s="26">
        <v>4</v>
      </c>
      <c r="B16" s="602"/>
      <c r="C16" s="8" t="s">
        <v>143</v>
      </c>
      <c r="D16" s="21">
        <f t="shared" si="0"/>
        <v>0</v>
      </c>
    </row>
    <row r="17" spans="1:4" ht="16" customHeight="1" thickBot="1" x14ac:dyDescent="0.2">
      <c r="A17" s="27">
        <v>5</v>
      </c>
      <c r="B17" s="604"/>
      <c r="C17" s="9" t="s">
        <v>144</v>
      </c>
      <c r="D17" s="21">
        <f t="shared" si="0"/>
        <v>0</v>
      </c>
    </row>
    <row r="18" spans="1:4" ht="16" customHeight="1" x14ac:dyDescent="0.15">
      <c r="A18" s="25">
        <v>6</v>
      </c>
      <c r="B18" s="602"/>
      <c r="C18" s="7" t="s">
        <v>147</v>
      </c>
      <c r="D18" s="21">
        <f t="shared" si="0"/>
        <v>0</v>
      </c>
    </row>
    <row r="19" spans="1:4" ht="16" customHeight="1" x14ac:dyDescent="0.15">
      <c r="A19" s="26">
        <v>7</v>
      </c>
      <c r="B19" s="603"/>
      <c r="C19" s="8" t="s">
        <v>146</v>
      </c>
      <c r="D19" s="21">
        <f t="shared" si="0"/>
        <v>0</v>
      </c>
    </row>
    <row r="20" spans="1:4" ht="16" customHeight="1" x14ac:dyDescent="0.15">
      <c r="A20" s="26">
        <v>8</v>
      </c>
      <c r="B20" s="602"/>
      <c r="C20" s="8" t="s">
        <v>145</v>
      </c>
      <c r="D20" s="21">
        <f t="shared" si="0"/>
        <v>0</v>
      </c>
    </row>
    <row r="21" spans="1:4" ht="16" customHeight="1" x14ac:dyDescent="0.15">
      <c r="A21" s="26">
        <v>9</v>
      </c>
      <c r="B21" s="602"/>
      <c r="C21" s="8" t="s">
        <v>382</v>
      </c>
      <c r="D21" s="21">
        <f t="shared" si="0"/>
        <v>0</v>
      </c>
    </row>
    <row r="22" spans="1:4" ht="16" customHeight="1" thickBot="1" x14ac:dyDescent="0.2">
      <c r="A22" s="27">
        <v>10</v>
      </c>
      <c r="B22" s="604"/>
      <c r="C22" s="9" t="s">
        <v>148</v>
      </c>
      <c r="D22" s="21">
        <f t="shared" si="0"/>
        <v>0</v>
      </c>
    </row>
    <row r="23" spans="1:4" ht="28" x14ac:dyDescent="0.15">
      <c r="A23" s="653">
        <v>11</v>
      </c>
      <c r="B23" s="602"/>
      <c r="C23" s="7" t="s">
        <v>149</v>
      </c>
      <c r="D23" s="21">
        <f t="shared" si="0"/>
        <v>0</v>
      </c>
    </row>
    <row r="24" spans="1:4" ht="16" customHeight="1" x14ac:dyDescent="0.15">
      <c r="A24" s="26">
        <v>12</v>
      </c>
      <c r="B24" s="603"/>
      <c r="C24" s="8" t="s">
        <v>150</v>
      </c>
      <c r="D24" s="21">
        <f t="shared" si="0"/>
        <v>0</v>
      </c>
    </row>
    <row r="25" spans="1:4" ht="16" customHeight="1" x14ac:dyDescent="0.15">
      <c r="A25" s="26">
        <v>13</v>
      </c>
      <c r="B25" s="602"/>
      <c r="C25" s="8" t="s">
        <v>151</v>
      </c>
      <c r="D25" s="21">
        <f t="shared" si="0"/>
        <v>0</v>
      </c>
    </row>
    <row r="26" spans="1:4" ht="28" x14ac:dyDescent="0.15">
      <c r="A26" s="652">
        <v>14</v>
      </c>
      <c r="B26" s="602"/>
      <c r="C26" s="8" t="s">
        <v>152</v>
      </c>
      <c r="D26" s="21">
        <f t="shared" si="0"/>
        <v>0</v>
      </c>
    </row>
    <row r="27" spans="1:4" ht="16" customHeight="1" thickBot="1" x14ac:dyDescent="0.2">
      <c r="A27" s="27">
        <v>15</v>
      </c>
      <c r="B27" s="604"/>
      <c r="C27" s="9" t="s">
        <v>153</v>
      </c>
      <c r="D27" s="21">
        <f t="shared" si="0"/>
        <v>0</v>
      </c>
    </row>
    <row r="28" spans="1:4" ht="16" customHeight="1" x14ac:dyDescent="0.15">
      <c r="A28" s="25">
        <v>16</v>
      </c>
      <c r="B28" s="602"/>
      <c r="C28" s="7" t="s">
        <v>154</v>
      </c>
      <c r="D28" s="21">
        <f t="shared" si="0"/>
        <v>0</v>
      </c>
    </row>
    <row r="29" spans="1:4" ht="16" customHeight="1" x14ac:dyDescent="0.15">
      <c r="A29" s="26">
        <v>17</v>
      </c>
      <c r="B29" s="603"/>
      <c r="C29" s="8" t="s">
        <v>155</v>
      </c>
      <c r="D29" s="21">
        <f t="shared" si="0"/>
        <v>0</v>
      </c>
    </row>
    <row r="30" spans="1:4" ht="16" customHeight="1" x14ac:dyDescent="0.15">
      <c r="A30" s="26">
        <v>18</v>
      </c>
      <c r="B30" s="602"/>
      <c r="C30" s="8" t="s">
        <v>156</v>
      </c>
      <c r="D30" s="21">
        <f t="shared" si="0"/>
        <v>0</v>
      </c>
    </row>
    <row r="31" spans="1:4" ht="16" customHeight="1" x14ac:dyDescent="0.15">
      <c r="A31" s="26">
        <v>19</v>
      </c>
      <c r="B31" s="602"/>
      <c r="C31" s="8" t="s">
        <v>157</v>
      </c>
      <c r="D31" s="21">
        <f t="shared" si="0"/>
        <v>0</v>
      </c>
    </row>
    <row r="32" spans="1:4" ht="16" customHeight="1" thickBot="1" x14ac:dyDescent="0.2">
      <c r="A32" s="27">
        <v>20</v>
      </c>
      <c r="B32" s="604"/>
      <c r="C32" s="9" t="s">
        <v>162</v>
      </c>
      <c r="D32" s="21">
        <f t="shared" si="0"/>
        <v>0</v>
      </c>
    </row>
    <row r="33" spans="1:4" ht="28" x14ac:dyDescent="0.15">
      <c r="A33" s="653">
        <v>21</v>
      </c>
      <c r="B33" s="602"/>
      <c r="C33" s="7" t="s">
        <v>163</v>
      </c>
      <c r="D33" s="21">
        <f t="shared" si="0"/>
        <v>0</v>
      </c>
    </row>
    <row r="34" spans="1:4" ht="16" customHeight="1" x14ac:dyDescent="0.15">
      <c r="A34" s="26">
        <v>22</v>
      </c>
      <c r="B34" s="603"/>
      <c r="C34" s="8" t="s">
        <v>164</v>
      </c>
      <c r="D34" s="21">
        <f t="shared" si="0"/>
        <v>0</v>
      </c>
    </row>
    <row r="35" spans="1:4" ht="16" customHeight="1" x14ac:dyDescent="0.15">
      <c r="A35" s="26">
        <v>23</v>
      </c>
      <c r="B35" s="602"/>
      <c r="C35" s="8" t="s">
        <v>165</v>
      </c>
      <c r="D35" s="21">
        <f t="shared" si="0"/>
        <v>0</v>
      </c>
    </row>
    <row r="36" spans="1:4" ht="16" customHeight="1" x14ac:dyDescent="0.15">
      <c r="A36" s="26">
        <v>24</v>
      </c>
      <c r="B36" s="602"/>
      <c r="C36" s="8" t="s">
        <v>167</v>
      </c>
      <c r="D36" s="21">
        <f t="shared" si="0"/>
        <v>0</v>
      </c>
    </row>
    <row r="37" spans="1:4" ht="16" customHeight="1" thickBot="1" x14ac:dyDescent="0.2">
      <c r="A37" s="27">
        <v>25</v>
      </c>
      <c r="B37" s="604"/>
      <c r="C37" s="9" t="s">
        <v>168</v>
      </c>
      <c r="D37" s="21">
        <f t="shared" si="0"/>
        <v>0</v>
      </c>
    </row>
    <row r="38" spans="1:4" ht="16" customHeight="1" x14ac:dyDescent="0.15">
      <c r="A38" s="25">
        <v>26</v>
      </c>
      <c r="B38" s="602"/>
      <c r="C38" s="7" t="s">
        <v>169</v>
      </c>
      <c r="D38" s="21">
        <f t="shared" si="0"/>
        <v>0</v>
      </c>
    </row>
    <row r="39" spans="1:4" ht="16" customHeight="1" x14ac:dyDescent="0.15">
      <c r="A39" s="26">
        <v>27</v>
      </c>
      <c r="B39" s="603"/>
      <c r="C39" s="8" t="s">
        <v>170</v>
      </c>
      <c r="D39" s="21">
        <f t="shared" si="0"/>
        <v>0</v>
      </c>
    </row>
    <row r="40" spans="1:4" ht="16" customHeight="1" x14ac:dyDescent="0.15">
      <c r="A40" s="26">
        <v>28</v>
      </c>
      <c r="B40" s="602"/>
      <c r="C40" s="8" t="s">
        <v>171</v>
      </c>
      <c r="D40" s="21">
        <f t="shared" si="0"/>
        <v>0</v>
      </c>
    </row>
    <row r="41" spans="1:4" ht="16" customHeight="1" x14ac:dyDescent="0.15">
      <c r="A41" s="26">
        <v>29</v>
      </c>
      <c r="B41" s="602"/>
      <c r="C41" s="8" t="s">
        <v>179</v>
      </c>
      <c r="D41" s="21">
        <f t="shared" si="0"/>
        <v>0</v>
      </c>
    </row>
    <row r="42" spans="1:4" ht="16" customHeight="1" thickBot="1" x14ac:dyDescent="0.2">
      <c r="A42" s="27">
        <v>30</v>
      </c>
      <c r="B42" s="604"/>
      <c r="C42" s="9" t="s">
        <v>180</v>
      </c>
      <c r="D42" s="21">
        <f t="shared" si="0"/>
        <v>0</v>
      </c>
    </row>
    <row r="43" spans="1:4" ht="16" customHeight="1" x14ac:dyDescent="0.15">
      <c r="A43" s="25">
        <v>31</v>
      </c>
      <c r="B43" s="602"/>
      <c r="C43" s="7" t="s">
        <v>181</v>
      </c>
      <c r="D43" s="21">
        <f t="shared" si="0"/>
        <v>0</v>
      </c>
    </row>
    <row r="44" spans="1:4" ht="16" customHeight="1" x14ac:dyDescent="0.15">
      <c r="A44" s="26">
        <v>32</v>
      </c>
      <c r="B44" s="603"/>
      <c r="C44" s="8" t="s">
        <v>182</v>
      </c>
      <c r="D44" s="21">
        <f t="shared" si="0"/>
        <v>0</v>
      </c>
    </row>
    <row r="45" spans="1:4" ht="16" customHeight="1" x14ac:dyDescent="0.15">
      <c r="A45" s="26">
        <v>33</v>
      </c>
      <c r="B45" s="602"/>
      <c r="C45" s="8" t="s">
        <v>183</v>
      </c>
      <c r="D45" s="21">
        <f t="shared" si="0"/>
        <v>0</v>
      </c>
    </row>
    <row r="46" spans="1:4" ht="16" customHeight="1" x14ac:dyDescent="0.15">
      <c r="A46" s="26">
        <v>34</v>
      </c>
      <c r="B46" s="602"/>
      <c r="C46" s="8" t="s">
        <v>184</v>
      </c>
      <c r="D46" s="21">
        <f t="shared" si="0"/>
        <v>0</v>
      </c>
    </row>
    <row r="47" spans="1:4" ht="16" customHeight="1" thickBot="1" x14ac:dyDescent="0.2">
      <c r="A47" s="27">
        <v>35</v>
      </c>
      <c r="B47" s="604"/>
      <c r="C47" s="9" t="s">
        <v>185</v>
      </c>
      <c r="D47" s="21">
        <f t="shared" si="0"/>
        <v>0</v>
      </c>
    </row>
    <row r="48" spans="1:4" ht="16" customHeight="1" x14ac:dyDescent="0.15">
      <c r="A48" s="25">
        <v>36</v>
      </c>
      <c r="B48" s="602"/>
      <c r="C48" s="7" t="s">
        <v>186</v>
      </c>
      <c r="D48" s="21">
        <f t="shared" si="0"/>
        <v>0</v>
      </c>
    </row>
    <row r="49" spans="1:4" ht="16" customHeight="1" x14ac:dyDescent="0.15">
      <c r="A49" s="26">
        <v>37</v>
      </c>
      <c r="B49" s="603"/>
      <c r="C49" s="8" t="s">
        <v>187</v>
      </c>
      <c r="D49" s="21">
        <f t="shared" si="0"/>
        <v>0</v>
      </c>
    </row>
    <row r="50" spans="1:4" ht="16" customHeight="1" x14ac:dyDescent="0.15">
      <c r="A50" s="26">
        <v>38</v>
      </c>
      <c r="B50" s="602"/>
      <c r="C50" s="8" t="s">
        <v>188</v>
      </c>
      <c r="D50" s="21">
        <f t="shared" si="0"/>
        <v>0</v>
      </c>
    </row>
    <row r="51" spans="1:4" ht="16" customHeight="1" x14ac:dyDescent="0.15">
      <c r="A51" s="26">
        <v>39</v>
      </c>
      <c r="B51" s="602"/>
      <c r="C51" s="8" t="s">
        <v>189</v>
      </c>
      <c r="D51" s="21">
        <f t="shared" si="0"/>
        <v>0</v>
      </c>
    </row>
    <row r="52" spans="1:4" ht="16" customHeight="1" thickBot="1" x14ac:dyDescent="0.2">
      <c r="A52" s="27">
        <v>40</v>
      </c>
      <c r="B52" s="604"/>
      <c r="C52" s="9" t="s">
        <v>190</v>
      </c>
      <c r="D52" s="21">
        <f t="shared" si="0"/>
        <v>0</v>
      </c>
    </row>
    <row r="53" spans="1:4" ht="16" customHeight="1" x14ac:dyDescent="0.15">
      <c r="A53" s="25">
        <v>41</v>
      </c>
      <c r="B53" s="602"/>
      <c r="C53" s="7" t="s">
        <v>191</v>
      </c>
      <c r="D53" s="21">
        <f t="shared" si="0"/>
        <v>0</v>
      </c>
    </row>
    <row r="54" spans="1:4" ht="16" customHeight="1" x14ac:dyDescent="0.15">
      <c r="A54" s="26">
        <v>42</v>
      </c>
      <c r="B54" s="603"/>
      <c r="C54" s="8" t="s">
        <v>192</v>
      </c>
      <c r="D54" s="21">
        <f t="shared" si="0"/>
        <v>0</v>
      </c>
    </row>
    <row r="55" spans="1:4" ht="16" customHeight="1" x14ac:dyDescent="0.15">
      <c r="A55" s="26">
        <v>43</v>
      </c>
      <c r="B55" s="602"/>
      <c r="C55" s="8" t="s">
        <v>193</v>
      </c>
      <c r="D55" s="21">
        <f t="shared" si="0"/>
        <v>0</v>
      </c>
    </row>
    <row r="56" spans="1:4" ht="16" customHeight="1" x14ac:dyDescent="0.15">
      <c r="A56" s="26">
        <v>44</v>
      </c>
      <c r="B56" s="602"/>
      <c r="C56" s="8" t="s">
        <v>194</v>
      </c>
      <c r="D56" s="21">
        <f t="shared" si="0"/>
        <v>0</v>
      </c>
    </row>
    <row r="57" spans="1:4" ht="16" customHeight="1" thickBot="1" x14ac:dyDescent="0.2">
      <c r="A57" s="27">
        <v>45</v>
      </c>
      <c r="B57" s="604"/>
      <c r="C57" s="9" t="s">
        <v>211</v>
      </c>
      <c r="D57" s="21">
        <f t="shared" si="0"/>
        <v>0</v>
      </c>
    </row>
    <row r="58" spans="1:4" ht="16" customHeight="1" x14ac:dyDescent="0.15">
      <c r="A58" s="25">
        <v>46</v>
      </c>
      <c r="B58" s="602"/>
      <c r="C58" s="7" t="s">
        <v>212</v>
      </c>
      <c r="D58" s="21">
        <f t="shared" si="0"/>
        <v>0</v>
      </c>
    </row>
    <row r="59" spans="1:4" ht="16" customHeight="1" x14ac:dyDescent="0.15">
      <c r="A59" s="26">
        <v>47</v>
      </c>
      <c r="B59" s="603"/>
      <c r="C59" s="8" t="s">
        <v>213</v>
      </c>
      <c r="D59" s="21">
        <f t="shared" si="0"/>
        <v>0</v>
      </c>
    </row>
    <row r="60" spans="1:4" ht="16" customHeight="1" x14ac:dyDescent="0.15">
      <c r="A60" s="26">
        <v>48</v>
      </c>
      <c r="B60" s="602"/>
      <c r="C60" s="8" t="s">
        <v>214</v>
      </c>
      <c r="D60" s="21">
        <f t="shared" si="0"/>
        <v>0</v>
      </c>
    </row>
    <row r="61" spans="1:4" ht="16" customHeight="1" x14ac:dyDescent="0.15">
      <c r="A61" s="26">
        <v>49</v>
      </c>
      <c r="B61" s="602"/>
      <c r="C61" s="8" t="s">
        <v>215</v>
      </c>
      <c r="D61" s="21">
        <f t="shared" si="0"/>
        <v>0</v>
      </c>
    </row>
    <row r="62" spans="1:4" ht="29" thickBot="1" x14ac:dyDescent="0.2">
      <c r="A62" s="654">
        <v>50</v>
      </c>
      <c r="B62" s="604"/>
      <c r="C62" s="9" t="s">
        <v>216</v>
      </c>
      <c r="D62" s="21">
        <f t="shared" si="0"/>
        <v>0</v>
      </c>
    </row>
    <row r="63" spans="1:4" ht="14" x14ac:dyDescent="0.15">
      <c r="A63" s="25">
        <v>51</v>
      </c>
      <c r="B63" s="602"/>
      <c r="C63" s="7" t="s">
        <v>217</v>
      </c>
      <c r="D63" s="21">
        <f t="shared" si="0"/>
        <v>0</v>
      </c>
    </row>
    <row r="64" spans="1:4" ht="14" x14ac:dyDescent="0.15">
      <c r="A64" s="26">
        <v>52</v>
      </c>
      <c r="B64" s="603"/>
      <c r="C64" s="8" t="s">
        <v>218</v>
      </c>
      <c r="D64" s="21">
        <f t="shared" si="0"/>
        <v>0</v>
      </c>
    </row>
    <row r="65" spans="1:4" ht="28" x14ac:dyDescent="0.15">
      <c r="A65" s="652">
        <v>53</v>
      </c>
      <c r="B65" s="602"/>
      <c r="C65" s="8" t="s">
        <v>219</v>
      </c>
      <c r="D65" s="21">
        <f t="shared" si="0"/>
        <v>0</v>
      </c>
    </row>
    <row r="66" spans="1:4" ht="16" customHeight="1" x14ac:dyDescent="0.15">
      <c r="A66" s="26">
        <v>54</v>
      </c>
      <c r="B66" s="602"/>
      <c r="C66" s="8" t="s">
        <v>220</v>
      </c>
      <c r="D66" s="21">
        <f t="shared" si="0"/>
        <v>0</v>
      </c>
    </row>
    <row r="67" spans="1:4" ht="16" customHeight="1" thickBot="1" x14ac:dyDescent="0.2">
      <c r="A67" s="27">
        <v>55</v>
      </c>
      <c r="B67" s="604"/>
      <c r="C67" s="9" t="s">
        <v>221</v>
      </c>
      <c r="D67" s="21">
        <f t="shared" si="0"/>
        <v>0</v>
      </c>
    </row>
    <row r="68" spans="1:4" ht="16" customHeight="1" x14ac:dyDescent="0.15">
      <c r="A68" s="25">
        <v>56</v>
      </c>
      <c r="B68" s="602"/>
      <c r="C68" s="7" t="s">
        <v>222</v>
      </c>
      <c r="D68" s="21">
        <f t="shared" si="0"/>
        <v>0</v>
      </c>
    </row>
    <row r="69" spans="1:4" ht="16" customHeight="1" x14ac:dyDescent="0.15">
      <c r="A69" s="26">
        <v>57</v>
      </c>
      <c r="B69" s="603"/>
      <c r="C69" s="8" t="s">
        <v>223</v>
      </c>
      <c r="D69" s="21">
        <f t="shared" si="0"/>
        <v>0</v>
      </c>
    </row>
    <row r="70" spans="1:4" ht="16" customHeight="1" x14ac:dyDescent="0.15">
      <c r="A70" s="26">
        <v>58</v>
      </c>
      <c r="B70" s="602"/>
      <c r="C70" s="8" t="s">
        <v>224</v>
      </c>
      <c r="D70" s="21">
        <f t="shared" si="0"/>
        <v>0</v>
      </c>
    </row>
    <row r="71" spans="1:4" ht="16" customHeight="1" x14ac:dyDescent="0.15">
      <c r="A71" s="26">
        <v>59</v>
      </c>
      <c r="B71" s="602"/>
      <c r="C71" s="8" t="s">
        <v>225</v>
      </c>
      <c r="D71" s="21">
        <f t="shared" si="0"/>
        <v>0</v>
      </c>
    </row>
    <row r="72" spans="1:4" ht="16" customHeight="1" thickBot="1" x14ac:dyDescent="0.2">
      <c r="A72" s="27">
        <v>60</v>
      </c>
      <c r="B72" s="604"/>
      <c r="C72" s="9" t="s">
        <v>226</v>
      </c>
      <c r="D72" s="21">
        <f t="shared" si="0"/>
        <v>0</v>
      </c>
    </row>
    <row r="73" spans="1:4" ht="16" customHeight="1" x14ac:dyDescent="0.15">
      <c r="A73" s="25">
        <v>61</v>
      </c>
      <c r="B73" s="602"/>
      <c r="C73" s="7" t="s">
        <v>227</v>
      </c>
      <c r="D73" s="21">
        <f t="shared" si="0"/>
        <v>0</v>
      </c>
    </row>
    <row r="74" spans="1:4" ht="16" customHeight="1" x14ac:dyDescent="0.15">
      <c r="A74" s="26">
        <v>62</v>
      </c>
      <c r="B74" s="603"/>
      <c r="C74" s="8" t="s">
        <v>228</v>
      </c>
      <c r="D74" s="21">
        <f t="shared" si="0"/>
        <v>0</v>
      </c>
    </row>
    <row r="75" spans="1:4" ht="28" x14ac:dyDescent="0.15">
      <c r="A75" s="652">
        <v>63</v>
      </c>
      <c r="B75" s="602"/>
      <c r="C75" s="8" t="s">
        <v>229</v>
      </c>
      <c r="D75" s="21">
        <f t="shared" si="0"/>
        <v>0</v>
      </c>
    </row>
    <row r="76" spans="1:4" ht="14" x14ac:dyDescent="0.15">
      <c r="A76" s="26">
        <v>64</v>
      </c>
      <c r="B76" s="602"/>
      <c r="C76" s="8" t="s">
        <v>241</v>
      </c>
      <c r="D76" s="21">
        <f t="shared" si="0"/>
        <v>0</v>
      </c>
    </row>
    <row r="77" spans="1:4" ht="16" customHeight="1" thickBot="1" x14ac:dyDescent="0.2">
      <c r="A77" s="27">
        <v>65</v>
      </c>
      <c r="B77" s="604"/>
      <c r="C77" s="9" t="s">
        <v>240</v>
      </c>
      <c r="D77" s="21">
        <f t="shared" si="0"/>
        <v>0</v>
      </c>
    </row>
    <row r="78" spans="1:4" ht="16" customHeight="1" x14ac:dyDescent="0.15">
      <c r="A78" s="25">
        <v>66</v>
      </c>
      <c r="B78" s="602"/>
      <c r="C78" s="7" t="s">
        <v>239</v>
      </c>
      <c r="D78" s="21">
        <f t="shared" ref="D78:D141" si="1">IF(B78=10,1,0)</f>
        <v>0</v>
      </c>
    </row>
    <row r="79" spans="1:4" ht="16" customHeight="1" x14ac:dyDescent="0.15">
      <c r="A79" s="26">
        <v>67</v>
      </c>
      <c r="B79" s="603"/>
      <c r="C79" s="8" t="s">
        <v>238</v>
      </c>
      <c r="D79" s="21">
        <f t="shared" si="1"/>
        <v>0</v>
      </c>
    </row>
    <row r="80" spans="1:4" ht="16" customHeight="1" x14ac:dyDescent="0.15">
      <c r="A80" s="26">
        <v>68</v>
      </c>
      <c r="B80" s="602"/>
      <c r="C80" s="8" t="s">
        <v>237</v>
      </c>
      <c r="D80" s="21">
        <f t="shared" si="1"/>
        <v>0</v>
      </c>
    </row>
    <row r="81" spans="1:4" ht="16" customHeight="1" x14ac:dyDescent="0.15">
      <c r="A81" s="26">
        <v>69</v>
      </c>
      <c r="B81" s="602"/>
      <c r="C81" s="8" t="s">
        <v>236</v>
      </c>
      <c r="D81" s="21">
        <f t="shared" si="1"/>
        <v>0</v>
      </c>
    </row>
    <row r="82" spans="1:4" ht="16" customHeight="1" thickBot="1" x14ac:dyDescent="0.2">
      <c r="A82" s="27">
        <v>70</v>
      </c>
      <c r="B82" s="604"/>
      <c r="C82" s="168" t="s">
        <v>235</v>
      </c>
      <c r="D82" s="21">
        <f t="shared" si="1"/>
        <v>0</v>
      </c>
    </row>
    <row r="83" spans="1:4" ht="16" customHeight="1" x14ac:dyDescent="0.15">
      <c r="A83" s="25">
        <v>71</v>
      </c>
      <c r="B83" s="602"/>
      <c r="C83" s="7" t="s">
        <v>234</v>
      </c>
      <c r="D83" s="21">
        <f t="shared" si="1"/>
        <v>0</v>
      </c>
    </row>
    <row r="84" spans="1:4" ht="16" customHeight="1" x14ac:dyDescent="0.15">
      <c r="A84" s="26">
        <v>72</v>
      </c>
      <c r="B84" s="603"/>
      <c r="C84" s="8" t="s">
        <v>233</v>
      </c>
      <c r="D84" s="21">
        <f t="shared" si="1"/>
        <v>0</v>
      </c>
    </row>
    <row r="85" spans="1:4" ht="16" customHeight="1" x14ac:dyDescent="0.15">
      <c r="A85" s="26">
        <v>73</v>
      </c>
      <c r="B85" s="602"/>
      <c r="C85" s="8" t="s">
        <v>232</v>
      </c>
      <c r="D85" s="21">
        <f t="shared" si="1"/>
        <v>0</v>
      </c>
    </row>
    <row r="86" spans="1:4" ht="28" x14ac:dyDescent="0.15">
      <c r="A86" s="652">
        <v>74</v>
      </c>
      <c r="B86" s="602"/>
      <c r="C86" s="8" t="s">
        <v>657</v>
      </c>
      <c r="D86" s="21">
        <f t="shared" si="1"/>
        <v>0</v>
      </c>
    </row>
    <row r="87" spans="1:4" ht="16" customHeight="1" thickBot="1" x14ac:dyDescent="0.2">
      <c r="A87" s="27">
        <v>75</v>
      </c>
      <c r="B87" s="604"/>
      <c r="C87" s="9" t="s">
        <v>231</v>
      </c>
      <c r="D87" s="21">
        <f t="shared" si="1"/>
        <v>0</v>
      </c>
    </row>
    <row r="88" spans="1:4" ht="16" customHeight="1" x14ac:dyDescent="0.15">
      <c r="A88" s="25">
        <v>76</v>
      </c>
      <c r="B88" s="602"/>
      <c r="C88" s="7" t="s">
        <v>230</v>
      </c>
      <c r="D88" s="21">
        <f t="shared" si="1"/>
        <v>0</v>
      </c>
    </row>
    <row r="89" spans="1:4" ht="16" customHeight="1" x14ac:dyDescent="0.15">
      <c r="A89" s="26">
        <v>77</v>
      </c>
      <c r="B89" s="603"/>
      <c r="C89" s="8" t="s">
        <v>656</v>
      </c>
      <c r="D89" s="21">
        <f t="shared" si="1"/>
        <v>0</v>
      </c>
    </row>
    <row r="90" spans="1:4" ht="16" customHeight="1" x14ac:dyDescent="0.15">
      <c r="A90" s="26">
        <v>78</v>
      </c>
      <c r="B90" s="602"/>
      <c r="C90" s="8" t="s">
        <v>242</v>
      </c>
      <c r="D90" s="21">
        <f t="shared" si="1"/>
        <v>0</v>
      </c>
    </row>
    <row r="91" spans="1:4" ht="16" customHeight="1" x14ac:dyDescent="0.15">
      <c r="A91" s="26">
        <v>79</v>
      </c>
      <c r="B91" s="602"/>
      <c r="C91" s="8" t="s">
        <v>272</v>
      </c>
      <c r="D91" s="21">
        <f t="shared" si="1"/>
        <v>0</v>
      </c>
    </row>
    <row r="92" spans="1:4" ht="16" customHeight="1" thickBot="1" x14ac:dyDescent="0.2">
      <c r="A92" s="27">
        <v>80</v>
      </c>
      <c r="B92" s="604"/>
      <c r="C92" s="9" t="s">
        <v>273</v>
      </c>
      <c r="D92" s="21">
        <f t="shared" si="1"/>
        <v>0</v>
      </c>
    </row>
    <row r="93" spans="1:4" ht="16" customHeight="1" x14ac:dyDescent="0.15">
      <c r="A93" s="25">
        <v>81</v>
      </c>
      <c r="B93" s="602"/>
      <c r="C93" s="7" t="s">
        <v>274</v>
      </c>
      <c r="D93" s="21">
        <f t="shared" si="1"/>
        <v>0</v>
      </c>
    </row>
    <row r="94" spans="1:4" ht="16" customHeight="1" x14ac:dyDescent="0.15">
      <c r="A94" s="26">
        <v>82</v>
      </c>
      <c r="B94" s="603"/>
      <c r="C94" s="8" t="s">
        <v>275</v>
      </c>
      <c r="D94" s="21">
        <f t="shared" si="1"/>
        <v>0</v>
      </c>
    </row>
    <row r="95" spans="1:4" ht="16" customHeight="1" x14ac:dyDescent="0.15">
      <c r="A95" s="26">
        <v>83</v>
      </c>
      <c r="B95" s="602"/>
      <c r="C95" s="8" t="s">
        <v>276</v>
      </c>
      <c r="D95" s="21">
        <f t="shared" si="1"/>
        <v>0</v>
      </c>
    </row>
    <row r="96" spans="1:4" ht="16" customHeight="1" x14ac:dyDescent="0.15">
      <c r="A96" s="26">
        <v>84</v>
      </c>
      <c r="B96" s="602"/>
      <c r="C96" s="8" t="s">
        <v>277</v>
      </c>
      <c r="D96" s="21">
        <f t="shared" si="1"/>
        <v>0</v>
      </c>
    </row>
    <row r="97" spans="1:4" ht="16" customHeight="1" thickBot="1" x14ac:dyDescent="0.2">
      <c r="A97" s="27">
        <v>85</v>
      </c>
      <c r="B97" s="604"/>
      <c r="C97" s="9" t="s">
        <v>278</v>
      </c>
      <c r="D97" s="21">
        <f t="shared" si="1"/>
        <v>0</v>
      </c>
    </row>
    <row r="98" spans="1:4" ht="16" customHeight="1" x14ac:dyDescent="0.15">
      <c r="A98" s="25">
        <v>86</v>
      </c>
      <c r="B98" s="602"/>
      <c r="C98" s="7" t="s">
        <v>279</v>
      </c>
      <c r="D98" s="21">
        <f t="shared" si="1"/>
        <v>0</v>
      </c>
    </row>
    <row r="99" spans="1:4" ht="16" customHeight="1" x14ac:dyDescent="0.15">
      <c r="A99" s="26">
        <v>87</v>
      </c>
      <c r="B99" s="603"/>
      <c r="C99" s="8" t="s">
        <v>280</v>
      </c>
      <c r="D99" s="21">
        <f t="shared" si="1"/>
        <v>0</v>
      </c>
    </row>
    <row r="100" spans="1:4" ht="16" customHeight="1" x14ac:dyDescent="0.15">
      <c r="A100" s="26">
        <v>88</v>
      </c>
      <c r="B100" s="602"/>
      <c r="C100" s="8" t="s">
        <v>281</v>
      </c>
      <c r="D100" s="21">
        <f t="shared" si="1"/>
        <v>0</v>
      </c>
    </row>
    <row r="101" spans="1:4" ht="16" customHeight="1" x14ac:dyDescent="0.15">
      <c r="A101" s="26">
        <v>89</v>
      </c>
      <c r="B101" s="602"/>
      <c r="C101" s="8" t="s">
        <v>282</v>
      </c>
      <c r="D101" s="21">
        <f t="shared" si="1"/>
        <v>0</v>
      </c>
    </row>
    <row r="102" spans="1:4" ht="16" customHeight="1" thickBot="1" x14ac:dyDescent="0.2">
      <c r="A102" s="27">
        <v>90</v>
      </c>
      <c r="B102" s="604"/>
      <c r="C102" s="9" t="s">
        <v>283</v>
      </c>
      <c r="D102" s="21">
        <f t="shared" si="1"/>
        <v>0</v>
      </c>
    </row>
    <row r="103" spans="1:4" ht="16" customHeight="1" x14ac:dyDescent="0.15">
      <c r="A103" s="25">
        <v>91</v>
      </c>
      <c r="B103" s="602"/>
      <c r="C103" s="7" t="s">
        <v>284</v>
      </c>
      <c r="D103" s="21">
        <f t="shared" si="1"/>
        <v>0</v>
      </c>
    </row>
    <row r="104" spans="1:4" ht="16" customHeight="1" x14ac:dyDescent="0.15">
      <c r="A104" s="26">
        <v>92</v>
      </c>
      <c r="B104" s="603"/>
      <c r="C104" s="8" t="s">
        <v>285</v>
      </c>
      <c r="D104" s="21">
        <f t="shared" si="1"/>
        <v>0</v>
      </c>
    </row>
    <row r="105" spans="1:4" ht="16" customHeight="1" x14ac:dyDescent="0.15">
      <c r="A105" s="26">
        <v>93</v>
      </c>
      <c r="B105" s="602"/>
      <c r="C105" s="8" t="s">
        <v>286</v>
      </c>
      <c r="D105" s="21">
        <f t="shared" si="1"/>
        <v>0</v>
      </c>
    </row>
    <row r="106" spans="1:4" ht="16" customHeight="1" x14ac:dyDescent="0.15">
      <c r="A106" s="26">
        <v>94</v>
      </c>
      <c r="B106" s="602"/>
      <c r="C106" s="8" t="s">
        <v>287</v>
      </c>
      <c r="D106" s="21">
        <f t="shared" si="1"/>
        <v>0</v>
      </c>
    </row>
    <row r="107" spans="1:4" ht="16" customHeight="1" thickBot="1" x14ac:dyDescent="0.2">
      <c r="A107" s="27">
        <v>95</v>
      </c>
      <c r="B107" s="604"/>
      <c r="C107" s="9" t="s">
        <v>288</v>
      </c>
      <c r="D107" s="21">
        <f t="shared" si="1"/>
        <v>0</v>
      </c>
    </row>
    <row r="108" spans="1:4" ht="16" customHeight="1" x14ac:dyDescent="0.15">
      <c r="A108" s="25">
        <v>96</v>
      </c>
      <c r="B108" s="602"/>
      <c r="C108" s="7" t="s">
        <v>55</v>
      </c>
      <c r="D108" s="21">
        <f t="shared" si="1"/>
        <v>0</v>
      </c>
    </row>
    <row r="109" spans="1:4" ht="16" customHeight="1" x14ac:dyDescent="0.15">
      <c r="A109" s="26">
        <v>97</v>
      </c>
      <c r="B109" s="603"/>
      <c r="C109" s="8" t="s">
        <v>56</v>
      </c>
      <c r="D109" s="21">
        <f t="shared" si="1"/>
        <v>0</v>
      </c>
    </row>
    <row r="110" spans="1:4" ht="28" x14ac:dyDescent="0.15">
      <c r="A110" s="652">
        <v>98</v>
      </c>
      <c r="B110" s="602"/>
      <c r="C110" s="8" t="s">
        <v>57</v>
      </c>
      <c r="D110" s="21">
        <f t="shared" si="1"/>
        <v>0</v>
      </c>
    </row>
    <row r="111" spans="1:4" ht="16" customHeight="1" x14ac:dyDescent="0.15">
      <c r="A111" s="26">
        <v>99</v>
      </c>
      <c r="B111" s="602"/>
      <c r="C111" s="8" t="s">
        <v>58</v>
      </c>
      <c r="D111" s="21">
        <f t="shared" si="1"/>
        <v>0</v>
      </c>
    </row>
    <row r="112" spans="1:4" ht="16" customHeight="1" thickBot="1" x14ac:dyDescent="0.2">
      <c r="A112" s="27">
        <v>100</v>
      </c>
      <c r="B112" s="604"/>
      <c r="C112" s="9" t="s">
        <v>59</v>
      </c>
      <c r="D112" s="21">
        <f t="shared" si="1"/>
        <v>0</v>
      </c>
    </row>
    <row r="113" spans="1:4" ht="16" customHeight="1" x14ac:dyDescent="0.15">
      <c r="A113" s="25">
        <v>101</v>
      </c>
      <c r="B113" s="602"/>
      <c r="C113" s="7" t="s">
        <v>95</v>
      </c>
      <c r="D113" s="21">
        <f t="shared" si="1"/>
        <v>0</v>
      </c>
    </row>
    <row r="114" spans="1:4" ht="16" customHeight="1" x14ac:dyDescent="0.15">
      <c r="A114" s="26">
        <v>102</v>
      </c>
      <c r="B114" s="603"/>
      <c r="C114" s="8" t="s">
        <v>96</v>
      </c>
      <c r="D114" s="21">
        <f t="shared" si="1"/>
        <v>0</v>
      </c>
    </row>
    <row r="115" spans="1:4" ht="16" customHeight="1" x14ac:dyDescent="0.15">
      <c r="A115" s="26">
        <v>103</v>
      </c>
      <c r="B115" s="602"/>
      <c r="C115" s="8" t="s">
        <v>97</v>
      </c>
      <c r="D115" s="21">
        <f t="shared" si="1"/>
        <v>0</v>
      </c>
    </row>
    <row r="116" spans="1:4" ht="16" customHeight="1" x14ac:dyDescent="0.15">
      <c r="A116" s="26">
        <v>104</v>
      </c>
      <c r="B116" s="602"/>
      <c r="C116" s="8" t="s">
        <v>98</v>
      </c>
      <c r="D116" s="21">
        <f t="shared" si="1"/>
        <v>0</v>
      </c>
    </row>
    <row r="117" spans="1:4" ht="16" customHeight="1" thickBot="1" x14ac:dyDescent="0.2">
      <c r="A117" s="27">
        <v>105</v>
      </c>
      <c r="B117" s="604"/>
      <c r="C117" s="9" t="s">
        <v>99</v>
      </c>
      <c r="D117" s="21">
        <f t="shared" si="1"/>
        <v>0</v>
      </c>
    </row>
    <row r="118" spans="1:4" ht="16" customHeight="1" x14ac:dyDescent="0.15">
      <c r="A118" s="25">
        <v>106</v>
      </c>
      <c r="B118" s="602"/>
      <c r="C118" s="7" t="s">
        <v>100</v>
      </c>
      <c r="D118" s="21">
        <f t="shared" si="1"/>
        <v>0</v>
      </c>
    </row>
    <row r="119" spans="1:4" ht="16" customHeight="1" x14ac:dyDescent="0.15">
      <c r="A119" s="26">
        <v>107</v>
      </c>
      <c r="B119" s="603"/>
      <c r="C119" s="8" t="s">
        <v>101</v>
      </c>
      <c r="D119" s="21">
        <f t="shared" si="1"/>
        <v>0</v>
      </c>
    </row>
    <row r="120" spans="1:4" ht="28" x14ac:dyDescent="0.15">
      <c r="A120" s="652">
        <v>108</v>
      </c>
      <c r="B120" s="602"/>
      <c r="C120" s="8" t="s">
        <v>831</v>
      </c>
      <c r="D120" s="21">
        <f t="shared" si="1"/>
        <v>0</v>
      </c>
    </row>
    <row r="121" spans="1:4" ht="16" customHeight="1" x14ac:dyDescent="0.15">
      <c r="A121" s="26">
        <v>109</v>
      </c>
      <c r="B121" s="602"/>
      <c r="C121" s="8" t="s">
        <v>102</v>
      </c>
      <c r="D121" s="21">
        <f t="shared" si="1"/>
        <v>0</v>
      </c>
    </row>
    <row r="122" spans="1:4" ht="16" customHeight="1" thickBot="1" x14ac:dyDescent="0.2">
      <c r="A122" s="27">
        <v>110</v>
      </c>
      <c r="B122" s="604"/>
      <c r="C122" s="9" t="s">
        <v>103</v>
      </c>
      <c r="D122" s="21">
        <f t="shared" si="1"/>
        <v>0</v>
      </c>
    </row>
    <row r="123" spans="1:4" ht="16" customHeight="1" x14ac:dyDescent="0.15">
      <c r="A123" s="25">
        <v>111</v>
      </c>
      <c r="B123" s="602"/>
      <c r="C123" s="7" t="s">
        <v>104</v>
      </c>
      <c r="D123" s="21">
        <f t="shared" si="1"/>
        <v>0</v>
      </c>
    </row>
    <row r="124" spans="1:4" ht="16" customHeight="1" x14ac:dyDescent="0.15">
      <c r="A124" s="26">
        <v>112</v>
      </c>
      <c r="B124" s="603"/>
      <c r="C124" s="8" t="s">
        <v>105</v>
      </c>
      <c r="D124" s="21">
        <f t="shared" si="1"/>
        <v>0</v>
      </c>
    </row>
    <row r="125" spans="1:4" ht="16" customHeight="1" x14ac:dyDescent="0.15">
      <c r="A125" s="26">
        <v>113</v>
      </c>
      <c r="B125" s="602"/>
      <c r="C125" s="8" t="s">
        <v>106</v>
      </c>
      <c r="D125" s="21">
        <f t="shared" si="1"/>
        <v>0</v>
      </c>
    </row>
    <row r="126" spans="1:4" ht="16" customHeight="1" x14ac:dyDescent="0.15">
      <c r="A126" s="26">
        <v>114</v>
      </c>
      <c r="B126" s="602"/>
      <c r="C126" s="8" t="s">
        <v>107</v>
      </c>
      <c r="D126" s="21">
        <f t="shared" si="1"/>
        <v>0</v>
      </c>
    </row>
    <row r="127" spans="1:4" ht="16" customHeight="1" thickBot="1" x14ac:dyDescent="0.2">
      <c r="A127" s="27">
        <v>115</v>
      </c>
      <c r="B127" s="604"/>
      <c r="C127" s="9" t="s">
        <v>108</v>
      </c>
      <c r="D127" s="21">
        <f t="shared" si="1"/>
        <v>0</v>
      </c>
    </row>
    <row r="128" spans="1:4" ht="16" customHeight="1" x14ac:dyDescent="0.15">
      <c r="A128" s="25">
        <v>116</v>
      </c>
      <c r="B128" s="602"/>
      <c r="C128" s="7" t="s">
        <v>109</v>
      </c>
      <c r="D128" s="21">
        <f t="shared" si="1"/>
        <v>0</v>
      </c>
    </row>
    <row r="129" spans="1:4" ht="16" customHeight="1" x14ac:dyDescent="0.15">
      <c r="A129" s="26">
        <v>117</v>
      </c>
      <c r="B129" s="603"/>
      <c r="C129" s="8" t="s">
        <v>110</v>
      </c>
      <c r="D129" s="21">
        <f t="shared" si="1"/>
        <v>0</v>
      </c>
    </row>
    <row r="130" spans="1:4" ht="16" customHeight="1" x14ac:dyDescent="0.15">
      <c r="A130" s="26">
        <v>118</v>
      </c>
      <c r="B130" s="602"/>
      <c r="C130" s="8" t="s">
        <v>111</v>
      </c>
      <c r="D130" s="21">
        <f t="shared" si="1"/>
        <v>0</v>
      </c>
    </row>
    <row r="131" spans="1:4" ht="16" customHeight="1" x14ac:dyDescent="0.15">
      <c r="A131" s="26">
        <v>119</v>
      </c>
      <c r="B131" s="602"/>
      <c r="C131" s="8" t="s">
        <v>112</v>
      </c>
      <c r="D131" s="21">
        <f t="shared" si="1"/>
        <v>0</v>
      </c>
    </row>
    <row r="132" spans="1:4" ht="16" customHeight="1" thickBot="1" x14ac:dyDescent="0.2">
      <c r="A132" s="27">
        <v>120</v>
      </c>
      <c r="B132" s="604"/>
      <c r="C132" s="9" t="s">
        <v>113</v>
      </c>
      <c r="D132" s="21">
        <f t="shared" si="1"/>
        <v>0</v>
      </c>
    </row>
    <row r="133" spans="1:4" ht="16" customHeight="1" x14ac:dyDescent="0.15">
      <c r="A133" s="25">
        <v>121</v>
      </c>
      <c r="B133" s="605"/>
      <c r="C133" s="7" t="s">
        <v>114</v>
      </c>
      <c r="D133" s="21">
        <f t="shared" si="1"/>
        <v>0</v>
      </c>
    </row>
    <row r="134" spans="1:4" ht="16" customHeight="1" x14ac:dyDescent="0.15">
      <c r="A134" s="26">
        <v>122</v>
      </c>
      <c r="B134" s="605"/>
      <c r="C134" s="8" t="s">
        <v>115</v>
      </c>
      <c r="D134" s="21">
        <f t="shared" si="1"/>
        <v>0</v>
      </c>
    </row>
    <row r="135" spans="1:4" ht="16" customHeight="1" x14ac:dyDescent="0.15">
      <c r="A135" s="26">
        <v>123</v>
      </c>
      <c r="B135" s="605"/>
      <c r="C135" s="8" t="s">
        <v>116</v>
      </c>
      <c r="D135" s="21">
        <f t="shared" si="1"/>
        <v>0</v>
      </c>
    </row>
    <row r="136" spans="1:4" ht="16" customHeight="1" x14ac:dyDescent="0.15">
      <c r="A136" s="26">
        <v>124</v>
      </c>
      <c r="B136" s="605"/>
      <c r="C136" s="8" t="s">
        <v>117</v>
      </c>
      <c r="D136" s="21">
        <f t="shared" si="1"/>
        <v>0</v>
      </c>
    </row>
    <row r="137" spans="1:4" ht="16" customHeight="1" thickBot="1" x14ac:dyDescent="0.2">
      <c r="A137" s="27">
        <v>125</v>
      </c>
      <c r="B137" s="606"/>
      <c r="C137" s="9" t="s">
        <v>118</v>
      </c>
      <c r="D137" s="21">
        <f t="shared" si="1"/>
        <v>0</v>
      </c>
    </row>
    <row r="138" spans="1:4" ht="16" customHeight="1" x14ac:dyDescent="0.15">
      <c r="A138" s="25">
        <v>126</v>
      </c>
      <c r="B138" s="605"/>
      <c r="C138" s="7" t="s">
        <v>119</v>
      </c>
      <c r="D138" s="21">
        <f t="shared" si="1"/>
        <v>0</v>
      </c>
    </row>
    <row r="139" spans="1:4" ht="16" customHeight="1" x14ac:dyDescent="0.15">
      <c r="A139" s="26">
        <v>127</v>
      </c>
      <c r="B139" s="605"/>
      <c r="C139" s="8" t="s">
        <v>120</v>
      </c>
      <c r="D139" s="21">
        <f t="shared" si="1"/>
        <v>0</v>
      </c>
    </row>
    <row r="140" spans="1:4" ht="16" customHeight="1" x14ac:dyDescent="0.15">
      <c r="A140" s="26">
        <v>128</v>
      </c>
      <c r="B140" s="605"/>
      <c r="C140" s="8" t="s">
        <v>121</v>
      </c>
      <c r="D140" s="21">
        <f t="shared" si="1"/>
        <v>0</v>
      </c>
    </row>
    <row r="141" spans="1:4" ht="16" customHeight="1" x14ac:dyDescent="0.15">
      <c r="A141" s="26">
        <v>129</v>
      </c>
      <c r="B141" s="605"/>
      <c r="C141" s="8" t="s">
        <v>122</v>
      </c>
      <c r="D141" s="21">
        <f t="shared" si="1"/>
        <v>0</v>
      </c>
    </row>
    <row r="142" spans="1:4" ht="29" thickBot="1" x14ac:dyDescent="0.2">
      <c r="A142" s="654">
        <v>130</v>
      </c>
      <c r="B142" s="606"/>
      <c r="C142" s="9" t="s">
        <v>123</v>
      </c>
      <c r="D142" s="21">
        <f t="shared" ref="D142:D205" si="2">IF(B142=10,1,0)</f>
        <v>0</v>
      </c>
    </row>
    <row r="143" spans="1:4" ht="16" customHeight="1" x14ac:dyDescent="0.15">
      <c r="A143" s="25">
        <v>131</v>
      </c>
      <c r="B143" s="605"/>
      <c r="C143" s="133" t="s">
        <v>124</v>
      </c>
      <c r="D143" s="21">
        <f t="shared" si="2"/>
        <v>0</v>
      </c>
    </row>
    <row r="144" spans="1:4" ht="16" customHeight="1" x14ac:dyDescent="0.15">
      <c r="A144" s="26">
        <v>132</v>
      </c>
      <c r="B144" s="605"/>
      <c r="C144" s="8" t="s">
        <v>126</v>
      </c>
      <c r="D144" s="21">
        <f t="shared" si="2"/>
        <v>0</v>
      </c>
    </row>
    <row r="145" spans="1:4" ht="16" customHeight="1" x14ac:dyDescent="0.15">
      <c r="A145" s="26">
        <v>133</v>
      </c>
      <c r="B145" s="605"/>
      <c r="C145" s="8" t="s">
        <v>127</v>
      </c>
      <c r="D145" s="21">
        <f t="shared" si="2"/>
        <v>0</v>
      </c>
    </row>
    <row r="146" spans="1:4" ht="28" x14ac:dyDescent="0.15">
      <c r="A146" s="26">
        <v>134</v>
      </c>
      <c r="B146" s="605"/>
      <c r="C146" s="117" t="s">
        <v>414</v>
      </c>
      <c r="D146" s="21">
        <f t="shared" si="2"/>
        <v>0</v>
      </c>
    </row>
    <row r="147" spans="1:4" ht="16" customHeight="1" thickBot="1" x14ac:dyDescent="0.2">
      <c r="A147" s="27">
        <v>135</v>
      </c>
      <c r="B147" s="606"/>
      <c r="C147" s="9" t="s">
        <v>158</v>
      </c>
      <c r="D147" s="21">
        <f t="shared" si="2"/>
        <v>0</v>
      </c>
    </row>
    <row r="148" spans="1:4" ht="16" customHeight="1" x14ac:dyDescent="0.15">
      <c r="A148" s="25">
        <v>136</v>
      </c>
      <c r="B148" s="605"/>
      <c r="C148" s="7" t="s">
        <v>243</v>
      </c>
      <c r="D148" s="21">
        <f t="shared" si="2"/>
        <v>0</v>
      </c>
    </row>
    <row r="149" spans="1:4" ht="16" customHeight="1" x14ac:dyDescent="0.15">
      <c r="A149" s="26">
        <v>137</v>
      </c>
      <c r="B149" s="605"/>
      <c r="C149" s="8" t="s">
        <v>244</v>
      </c>
      <c r="D149" s="21">
        <f t="shared" si="2"/>
        <v>0</v>
      </c>
    </row>
    <row r="150" spans="1:4" ht="16" customHeight="1" x14ac:dyDescent="0.15">
      <c r="A150" s="26">
        <v>138</v>
      </c>
      <c r="B150" s="605"/>
      <c r="C150" s="8" t="s">
        <v>245</v>
      </c>
      <c r="D150" s="21">
        <f t="shared" si="2"/>
        <v>0</v>
      </c>
    </row>
    <row r="151" spans="1:4" ht="16" customHeight="1" x14ac:dyDescent="0.15">
      <c r="A151" s="26">
        <v>139</v>
      </c>
      <c r="B151" s="605"/>
      <c r="C151" s="8" t="s">
        <v>246</v>
      </c>
      <c r="D151" s="21">
        <f t="shared" si="2"/>
        <v>0</v>
      </c>
    </row>
    <row r="152" spans="1:4" ht="16" customHeight="1" thickBot="1" x14ac:dyDescent="0.2">
      <c r="A152" s="27">
        <v>140</v>
      </c>
      <c r="B152" s="606"/>
      <c r="C152" s="9" t="s">
        <v>247</v>
      </c>
      <c r="D152" s="21">
        <f t="shared" si="2"/>
        <v>0</v>
      </c>
    </row>
    <row r="153" spans="1:4" ht="16" customHeight="1" x14ac:dyDescent="0.15">
      <c r="A153" s="25">
        <v>141</v>
      </c>
      <c r="B153" s="605"/>
      <c r="C153" s="7" t="s">
        <v>248</v>
      </c>
      <c r="D153" s="21">
        <f t="shared" si="2"/>
        <v>0</v>
      </c>
    </row>
    <row r="154" spans="1:4" ht="16" customHeight="1" x14ac:dyDescent="0.15">
      <c r="A154" s="26">
        <v>142</v>
      </c>
      <c r="B154" s="605"/>
      <c r="C154" s="8" t="s">
        <v>249</v>
      </c>
      <c r="D154" s="21">
        <f t="shared" si="2"/>
        <v>0</v>
      </c>
    </row>
    <row r="155" spans="1:4" ht="16" customHeight="1" x14ac:dyDescent="0.15">
      <c r="A155" s="26">
        <v>143</v>
      </c>
      <c r="B155" s="605"/>
      <c r="C155" s="8" t="s">
        <v>250</v>
      </c>
      <c r="D155" s="21">
        <f t="shared" si="2"/>
        <v>0</v>
      </c>
    </row>
    <row r="156" spans="1:4" ht="16" customHeight="1" x14ac:dyDescent="0.15">
      <c r="A156" s="26">
        <v>144</v>
      </c>
      <c r="B156" s="605"/>
      <c r="C156" s="8" t="s">
        <v>251</v>
      </c>
      <c r="D156" s="21">
        <f t="shared" si="2"/>
        <v>0</v>
      </c>
    </row>
    <row r="157" spans="1:4" ht="16" customHeight="1" thickBot="1" x14ac:dyDescent="0.2">
      <c r="A157" s="27">
        <v>145</v>
      </c>
      <c r="B157" s="606"/>
      <c r="C157" s="9" t="s">
        <v>252</v>
      </c>
      <c r="D157" s="21">
        <f t="shared" si="2"/>
        <v>0</v>
      </c>
    </row>
    <row r="158" spans="1:4" ht="16" customHeight="1" x14ac:dyDescent="0.15">
      <c r="A158" s="25">
        <v>146</v>
      </c>
      <c r="B158" s="605"/>
      <c r="C158" s="7" t="s">
        <v>253</v>
      </c>
      <c r="D158" s="21">
        <f t="shared" si="2"/>
        <v>0</v>
      </c>
    </row>
    <row r="159" spans="1:4" ht="16" customHeight="1" x14ac:dyDescent="0.15">
      <c r="A159" s="26">
        <v>147</v>
      </c>
      <c r="B159" s="605"/>
      <c r="C159" s="8" t="s">
        <v>254</v>
      </c>
      <c r="D159" s="21">
        <f t="shared" si="2"/>
        <v>0</v>
      </c>
    </row>
    <row r="160" spans="1:4" ht="16" customHeight="1" x14ac:dyDescent="0.15">
      <c r="A160" s="26">
        <v>148</v>
      </c>
      <c r="B160" s="605"/>
      <c r="C160" s="8" t="s">
        <v>255</v>
      </c>
      <c r="D160" s="21">
        <f t="shared" si="2"/>
        <v>0</v>
      </c>
    </row>
    <row r="161" spans="1:4" ht="16" customHeight="1" x14ac:dyDescent="0.15">
      <c r="A161" s="26">
        <v>149</v>
      </c>
      <c r="B161" s="605"/>
      <c r="C161" s="8" t="s">
        <v>256</v>
      </c>
      <c r="D161" s="21">
        <f t="shared" si="2"/>
        <v>0</v>
      </c>
    </row>
    <row r="162" spans="1:4" ht="28" customHeight="1" thickBot="1" x14ac:dyDescent="0.2">
      <c r="A162" s="654">
        <v>150</v>
      </c>
      <c r="B162" s="606"/>
      <c r="C162" s="9" t="s">
        <v>772</v>
      </c>
      <c r="D162" s="21">
        <f t="shared" si="2"/>
        <v>0</v>
      </c>
    </row>
    <row r="163" spans="1:4" ht="16" customHeight="1" x14ac:dyDescent="0.15">
      <c r="A163" s="25">
        <v>151</v>
      </c>
      <c r="B163" s="605"/>
      <c r="C163" s="7" t="s">
        <v>257</v>
      </c>
      <c r="D163" s="21">
        <f t="shared" si="2"/>
        <v>0</v>
      </c>
    </row>
    <row r="164" spans="1:4" ht="28" x14ac:dyDescent="0.15">
      <c r="A164" s="652">
        <v>152</v>
      </c>
      <c r="B164" s="605"/>
      <c r="C164" s="8" t="s">
        <v>258</v>
      </c>
      <c r="D164" s="21">
        <f t="shared" si="2"/>
        <v>0</v>
      </c>
    </row>
    <row r="165" spans="1:4" ht="16" customHeight="1" x14ac:dyDescent="0.15">
      <c r="A165" s="26">
        <v>153</v>
      </c>
      <c r="B165" s="605"/>
      <c r="C165" s="8" t="s">
        <v>259</v>
      </c>
      <c r="D165" s="21">
        <f t="shared" si="2"/>
        <v>0</v>
      </c>
    </row>
    <row r="166" spans="1:4" ht="16" customHeight="1" x14ac:dyDescent="0.15">
      <c r="A166" s="26">
        <v>154</v>
      </c>
      <c r="B166" s="605"/>
      <c r="C166" s="8" t="s">
        <v>260</v>
      </c>
      <c r="D166" s="21">
        <f t="shared" si="2"/>
        <v>0</v>
      </c>
    </row>
    <row r="167" spans="1:4" ht="29" thickBot="1" x14ac:dyDescent="0.2">
      <c r="A167" s="654">
        <v>155</v>
      </c>
      <c r="B167" s="606"/>
      <c r="C167" s="9" t="s">
        <v>516</v>
      </c>
      <c r="D167" s="21">
        <f t="shared" si="2"/>
        <v>0</v>
      </c>
    </row>
    <row r="168" spans="1:4" ht="41" customHeight="1" x14ac:dyDescent="0.15">
      <c r="A168" s="653">
        <v>156</v>
      </c>
      <c r="B168" s="605"/>
      <c r="C168" s="7" t="s">
        <v>515</v>
      </c>
      <c r="D168" s="21">
        <f t="shared" si="2"/>
        <v>0</v>
      </c>
    </row>
    <row r="169" spans="1:4" ht="16" customHeight="1" x14ac:dyDescent="0.15">
      <c r="A169" s="26">
        <v>157</v>
      </c>
      <c r="B169" s="605"/>
      <c r="C169" s="8" t="s">
        <v>261</v>
      </c>
      <c r="D169" s="21">
        <f t="shared" si="2"/>
        <v>0</v>
      </c>
    </row>
    <row r="170" spans="1:4" ht="16" customHeight="1" x14ac:dyDescent="0.15">
      <c r="A170" s="26">
        <v>158</v>
      </c>
      <c r="B170" s="605"/>
      <c r="C170" s="8" t="s">
        <v>262</v>
      </c>
      <c r="D170" s="21">
        <f t="shared" si="2"/>
        <v>0</v>
      </c>
    </row>
    <row r="171" spans="1:4" ht="16" customHeight="1" x14ac:dyDescent="0.15">
      <c r="A171" s="26">
        <v>159</v>
      </c>
      <c r="B171" s="605"/>
      <c r="C171" s="8" t="s">
        <v>263</v>
      </c>
      <c r="D171" s="21">
        <f t="shared" si="2"/>
        <v>0</v>
      </c>
    </row>
    <row r="172" spans="1:4" ht="29" thickBot="1" x14ac:dyDescent="0.2">
      <c r="A172" s="27">
        <v>160</v>
      </c>
      <c r="B172" s="606"/>
      <c r="C172" s="9" t="s">
        <v>264</v>
      </c>
      <c r="D172" s="21">
        <f t="shared" si="2"/>
        <v>0</v>
      </c>
    </row>
    <row r="173" spans="1:4" ht="16" customHeight="1" x14ac:dyDescent="0.15">
      <c r="A173" s="25">
        <v>161</v>
      </c>
      <c r="B173" s="605"/>
      <c r="C173" s="7" t="s">
        <v>265</v>
      </c>
      <c r="D173" s="21">
        <f t="shared" si="2"/>
        <v>0</v>
      </c>
    </row>
    <row r="174" spans="1:4" ht="28" x14ac:dyDescent="0.15">
      <c r="A174" s="652">
        <v>162</v>
      </c>
      <c r="B174" s="605"/>
      <c r="C174" s="8" t="s">
        <v>266</v>
      </c>
      <c r="D174" s="21">
        <f t="shared" si="2"/>
        <v>0</v>
      </c>
    </row>
    <row r="175" spans="1:4" ht="16" customHeight="1" x14ac:dyDescent="0.15">
      <c r="A175" s="26">
        <v>163</v>
      </c>
      <c r="B175" s="605"/>
      <c r="C175" s="8" t="s">
        <v>267</v>
      </c>
      <c r="D175" s="21">
        <f t="shared" si="2"/>
        <v>0</v>
      </c>
    </row>
    <row r="176" spans="1:4" ht="16" customHeight="1" x14ac:dyDescent="0.15">
      <c r="A176" s="26">
        <v>164</v>
      </c>
      <c r="B176" s="605"/>
      <c r="C176" s="8" t="s">
        <v>268</v>
      </c>
      <c r="D176" s="21">
        <f t="shared" si="2"/>
        <v>0</v>
      </c>
    </row>
    <row r="177" spans="1:4" ht="16" customHeight="1" thickBot="1" x14ac:dyDescent="0.2">
      <c r="A177" s="27">
        <v>165</v>
      </c>
      <c r="B177" s="606"/>
      <c r="C177" s="9" t="s">
        <v>269</v>
      </c>
      <c r="D177" s="21">
        <f t="shared" si="2"/>
        <v>0</v>
      </c>
    </row>
    <row r="178" spans="1:4" ht="16" customHeight="1" x14ac:dyDescent="0.15">
      <c r="A178" s="25">
        <v>166</v>
      </c>
      <c r="B178" s="605"/>
      <c r="C178" s="7" t="s">
        <v>270</v>
      </c>
      <c r="D178" s="21">
        <f t="shared" si="2"/>
        <v>0</v>
      </c>
    </row>
    <row r="179" spans="1:4" ht="16" customHeight="1" x14ac:dyDescent="0.15">
      <c r="A179" s="26">
        <v>167</v>
      </c>
      <c r="B179" s="605"/>
      <c r="C179" s="8" t="s">
        <v>271</v>
      </c>
      <c r="D179" s="21">
        <f t="shared" si="2"/>
        <v>0</v>
      </c>
    </row>
    <row r="180" spans="1:4" ht="16" customHeight="1" x14ac:dyDescent="0.15">
      <c r="A180" s="26">
        <v>168</v>
      </c>
      <c r="B180" s="605"/>
      <c r="C180" s="8" t="s">
        <v>60</v>
      </c>
      <c r="D180" s="21">
        <f t="shared" si="2"/>
        <v>0</v>
      </c>
    </row>
    <row r="181" spans="1:4" ht="16" customHeight="1" x14ac:dyDescent="0.15">
      <c r="A181" s="26">
        <v>169</v>
      </c>
      <c r="B181" s="605"/>
      <c r="C181" s="8" t="s">
        <v>61</v>
      </c>
      <c r="D181" s="21">
        <f t="shared" si="2"/>
        <v>0</v>
      </c>
    </row>
    <row r="182" spans="1:4" ht="29" thickBot="1" x14ac:dyDescent="0.2">
      <c r="A182" s="654">
        <v>170</v>
      </c>
      <c r="B182" s="606"/>
      <c r="C182" s="9" t="s">
        <v>62</v>
      </c>
      <c r="D182" s="21">
        <f t="shared" si="2"/>
        <v>0</v>
      </c>
    </row>
    <row r="183" spans="1:4" ht="14" x14ac:dyDescent="0.15">
      <c r="A183" s="25">
        <v>171</v>
      </c>
      <c r="B183" s="605"/>
      <c r="C183" s="7" t="s">
        <v>63</v>
      </c>
      <c r="D183" s="21">
        <f t="shared" si="2"/>
        <v>0</v>
      </c>
    </row>
    <row r="184" spans="1:4" ht="14" x14ac:dyDescent="0.15">
      <c r="A184" s="26">
        <v>172</v>
      </c>
      <c r="B184" s="605"/>
      <c r="C184" s="8" t="s">
        <v>64</v>
      </c>
      <c r="D184" s="21">
        <f t="shared" si="2"/>
        <v>0</v>
      </c>
    </row>
    <row r="185" spans="1:4" ht="28" x14ac:dyDescent="0.15">
      <c r="A185" s="652">
        <v>173</v>
      </c>
      <c r="B185" s="605"/>
      <c r="C185" s="8" t="s">
        <v>65</v>
      </c>
      <c r="D185" s="21">
        <f t="shared" si="2"/>
        <v>0</v>
      </c>
    </row>
    <row r="186" spans="1:4" ht="16" customHeight="1" x14ac:dyDescent="0.15">
      <c r="A186" s="26">
        <v>174</v>
      </c>
      <c r="B186" s="605"/>
      <c r="C186" s="8" t="s">
        <v>66</v>
      </c>
      <c r="D186" s="21">
        <f t="shared" si="2"/>
        <v>0</v>
      </c>
    </row>
    <row r="187" spans="1:4" ht="16" customHeight="1" thickBot="1" x14ac:dyDescent="0.2">
      <c r="A187" s="27">
        <v>175</v>
      </c>
      <c r="B187" s="606"/>
      <c r="C187" s="9" t="s">
        <v>67</v>
      </c>
      <c r="D187" s="21">
        <f t="shared" si="2"/>
        <v>0</v>
      </c>
    </row>
    <row r="188" spans="1:4" ht="16" customHeight="1" x14ac:dyDescent="0.15">
      <c r="A188" s="25">
        <v>176</v>
      </c>
      <c r="B188" s="605"/>
      <c r="C188" s="7" t="s">
        <v>68</v>
      </c>
      <c r="D188" s="21">
        <f t="shared" si="2"/>
        <v>0</v>
      </c>
    </row>
    <row r="189" spans="1:4" ht="16" customHeight="1" x14ac:dyDescent="0.15">
      <c r="A189" s="26">
        <v>177</v>
      </c>
      <c r="B189" s="605"/>
      <c r="C189" s="8" t="s">
        <v>69</v>
      </c>
      <c r="D189" s="21">
        <f t="shared" si="2"/>
        <v>0</v>
      </c>
    </row>
    <row r="190" spans="1:4" ht="16" customHeight="1" x14ac:dyDescent="0.15">
      <c r="A190" s="26">
        <v>178</v>
      </c>
      <c r="B190" s="605"/>
      <c r="C190" s="8" t="s">
        <v>73</v>
      </c>
      <c r="D190" s="21">
        <f t="shared" si="2"/>
        <v>0</v>
      </c>
    </row>
    <row r="191" spans="1:4" ht="28" x14ac:dyDescent="0.15">
      <c r="A191" s="652">
        <v>179</v>
      </c>
      <c r="B191" s="605"/>
      <c r="C191" s="8" t="s">
        <v>74</v>
      </c>
      <c r="D191" s="21">
        <f t="shared" si="2"/>
        <v>0</v>
      </c>
    </row>
    <row r="192" spans="1:4" ht="16" customHeight="1" thickBot="1" x14ac:dyDescent="0.2">
      <c r="A192" s="27">
        <v>180</v>
      </c>
      <c r="B192" s="606"/>
      <c r="C192" s="9" t="s">
        <v>75</v>
      </c>
      <c r="D192" s="21">
        <f t="shared" si="2"/>
        <v>0</v>
      </c>
    </row>
    <row r="193" spans="1:4" ht="16" customHeight="1" x14ac:dyDescent="0.15">
      <c r="A193" s="25">
        <v>181</v>
      </c>
      <c r="B193" s="605"/>
      <c r="C193" s="7" t="s">
        <v>76</v>
      </c>
      <c r="D193" s="21">
        <f t="shared" si="2"/>
        <v>0</v>
      </c>
    </row>
    <row r="194" spans="1:4" ht="28" x14ac:dyDescent="0.15">
      <c r="A194" s="652">
        <v>182</v>
      </c>
      <c r="B194" s="605"/>
      <c r="C194" s="8" t="s">
        <v>77</v>
      </c>
      <c r="D194" s="21">
        <f t="shared" si="2"/>
        <v>0</v>
      </c>
    </row>
    <row r="195" spans="1:4" ht="16" customHeight="1" x14ac:dyDescent="0.15">
      <c r="A195" s="26">
        <v>183</v>
      </c>
      <c r="B195" s="605"/>
      <c r="C195" s="8" t="s">
        <v>78</v>
      </c>
      <c r="D195" s="21">
        <f t="shared" si="2"/>
        <v>0</v>
      </c>
    </row>
    <row r="196" spans="1:4" ht="16" customHeight="1" x14ac:dyDescent="0.15">
      <c r="A196" s="26">
        <v>184</v>
      </c>
      <c r="B196" s="605"/>
      <c r="C196" s="8" t="s">
        <v>79</v>
      </c>
      <c r="D196" s="21">
        <f t="shared" si="2"/>
        <v>0</v>
      </c>
    </row>
    <row r="197" spans="1:4" ht="16" customHeight="1" thickBot="1" x14ac:dyDescent="0.2">
      <c r="A197" s="27">
        <v>185</v>
      </c>
      <c r="B197" s="606"/>
      <c r="C197" s="9" t="s">
        <v>80</v>
      </c>
      <c r="D197" s="21">
        <f t="shared" si="2"/>
        <v>0</v>
      </c>
    </row>
    <row r="198" spans="1:4" ht="16" customHeight="1" x14ac:dyDescent="0.15">
      <c r="A198" s="25">
        <v>186</v>
      </c>
      <c r="B198" s="605"/>
      <c r="C198" s="7" t="s">
        <v>81</v>
      </c>
      <c r="D198" s="21">
        <f t="shared" si="2"/>
        <v>0</v>
      </c>
    </row>
    <row r="199" spans="1:4" ht="16" customHeight="1" x14ac:dyDescent="0.15">
      <c r="A199" s="26">
        <v>187</v>
      </c>
      <c r="B199" s="605"/>
      <c r="C199" s="8" t="s">
        <v>82</v>
      </c>
      <c r="D199" s="21">
        <f t="shared" si="2"/>
        <v>0</v>
      </c>
    </row>
    <row r="200" spans="1:4" ht="16" customHeight="1" x14ac:dyDescent="0.15">
      <c r="A200" s="26">
        <v>188</v>
      </c>
      <c r="B200" s="605"/>
      <c r="C200" s="8" t="s">
        <v>83</v>
      </c>
      <c r="D200" s="21">
        <f t="shared" si="2"/>
        <v>0</v>
      </c>
    </row>
    <row r="201" spans="1:4" ht="16" customHeight="1" x14ac:dyDescent="0.15">
      <c r="A201" s="26">
        <v>189</v>
      </c>
      <c r="B201" s="605"/>
      <c r="C201" s="8" t="s">
        <v>84</v>
      </c>
      <c r="D201" s="21">
        <f t="shared" si="2"/>
        <v>0</v>
      </c>
    </row>
    <row r="202" spans="1:4" ht="16" customHeight="1" thickBot="1" x14ac:dyDescent="0.2">
      <c r="A202" s="27">
        <v>190</v>
      </c>
      <c r="B202" s="606"/>
      <c r="C202" s="9" t="s">
        <v>85</v>
      </c>
      <c r="D202" s="21">
        <f t="shared" si="2"/>
        <v>0</v>
      </c>
    </row>
    <row r="203" spans="1:4" ht="16" customHeight="1" x14ac:dyDescent="0.15">
      <c r="A203" s="25">
        <v>191</v>
      </c>
      <c r="B203" s="605"/>
      <c r="C203" s="7" t="s">
        <v>86</v>
      </c>
      <c r="D203" s="21">
        <f t="shared" si="2"/>
        <v>0</v>
      </c>
    </row>
    <row r="204" spans="1:4" ht="16" customHeight="1" x14ac:dyDescent="0.15">
      <c r="A204" s="26">
        <v>192</v>
      </c>
      <c r="B204" s="605"/>
      <c r="C204" s="8" t="s">
        <v>87</v>
      </c>
      <c r="D204" s="21">
        <f t="shared" si="2"/>
        <v>0</v>
      </c>
    </row>
    <row r="205" spans="1:4" ht="16" customHeight="1" x14ac:dyDescent="0.15">
      <c r="A205" s="26">
        <v>193</v>
      </c>
      <c r="B205" s="605"/>
      <c r="C205" s="8" t="s">
        <v>88</v>
      </c>
      <c r="D205" s="21">
        <f t="shared" si="2"/>
        <v>0</v>
      </c>
    </row>
    <row r="206" spans="1:4" ht="16" customHeight="1" x14ac:dyDescent="0.15">
      <c r="A206" s="26">
        <v>194</v>
      </c>
      <c r="B206" s="605"/>
      <c r="C206" s="8" t="s">
        <v>89</v>
      </c>
      <c r="D206" s="21">
        <f t="shared" ref="D206:D230" si="3">IF(B206=10,1,0)</f>
        <v>0</v>
      </c>
    </row>
    <row r="207" spans="1:4" ht="16" customHeight="1" thickBot="1" x14ac:dyDescent="0.2">
      <c r="A207" s="27">
        <v>195</v>
      </c>
      <c r="B207" s="606"/>
      <c r="C207" s="9" t="s">
        <v>90</v>
      </c>
      <c r="D207" s="21">
        <f t="shared" si="3"/>
        <v>0</v>
      </c>
    </row>
    <row r="208" spans="1:4" ht="16" customHeight="1" x14ac:dyDescent="0.15">
      <c r="A208" s="25">
        <v>196</v>
      </c>
      <c r="B208" s="605"/>
      <c r="C208" s="7" t="s">
        <v>91</v>
      </c>
      <c r="D208" s="21">
        <f t="shared" si="3"/>
        <v>0</v>
      </c>
    </row>
    <row r="209" spans="1:4" ht="16" customHeight="1" x14ac:dyDescent="0.15">
      <c r="A209" s="26">
        <v>197</v>
      </c>
      <c r="B209" s="605"/>
      <c r="C209" s="132" t="s">
        <v>92</v>
      </c>
      <c r="D209" s="21">
        <f t="shared" si="3"/>
        <v>0</v>
      </c>
    </row>
    <row r="210" spans="1:4" ht="16" customHeight="1" x14ac:dyDescent="0.15">
      <c r="A210" s="26">
        <v>198</v>
      </c>
      <c r="B210" s="605"/>
      <c r="C210" s="8" t="s">
        <v>93</v>
      </c>
      <c r="D210" s="21">
        <f t="shared" si="3"/>
        <v>0</v>
      </c>
    </row>
    <row r="211" spans="1:4" ht="16" customHeight="1" x14ac:dyDescent="0.15">
      <c r="A211" s="26">
        <v>199</v>
      </c>
      <c r="B211" s="605"/>
      <c r="C211" s="8" t="s">
        <v>94</v>
      </c>
      <c r="D211" s="21">
        <f t="shared" si="3"/>
        <v>0</v>
      </c>
    </row>
    <row r="212" spans="1:4" ht="16" customHeight="1" thickBot="1" x14ac:dyDescent="0.2">
      <c r="A212" s="27">
        <v>200</v>
      </c>
      <c r="B212" s="606"/>
      <c r="C212" s="9" t="s">
        <v>201</v>
      </c>
      <c r="D212" s="21">
        <f t="shared" si="3"/>
        <v>0</v>
      </c>
    </row>
    <row r="213" spans="1:4" ht="16" customHeight="1" x14ac:dyDescent="0.15">
      <c r="A213" s="25">
        <v>201</v>
      </c>
      <c r="B213" s="605"/>
      <c r="C213" s="7" t="s">
        <v>202</v>
      </c>
      <c r="D213" s="21">
        <f t="shared" si="3"/>
        <v>0</v>
      </c>
    </row>
    <row r="214" spans="1:4" ht="16" customHeight="1" x14ac:dyDescent="0.15">
      <c r="A214" s="26">
        <v>202</v>
      </c>
      <c r="B214" s="605"/>
      <c r="C214" s="8" t="s">
        <v>203</v>
      </c>
      <c r="D214" s="21">
        <f t="shared" si="3"/>
        <v>0</v>
      </c>
    </row>
    <row r="215" spans="1:4" ht="16" customHeight="1" x14ac:dyDescent="0.15">
      <c r="A215" s="26">
        <v>203</v>
      </c>
      <c r="B215" s="605"/>
      <c r="C215" s="8" t="s">
        <v>204</v>
      </c>
      <c r="D215" s="21">
        <f t="shared" si="3"/>
        <v>0</v>
      </c>
    </row>
    <row r="216" spans="1:4" ht="16" customHeight="1" x14ac:dyDescent="0.15">
      <c r="A216" s="26">
        <v>204</v>
      </c>
      <c r="B216" s="605"/>
      <c r="C216" s="8" t="s">
        <v>205</v>
      </c>
      <c r="D216" s="21">
        <f t="shared" si="3"/>
        <v>0</v>
      </c>
    </row>
    <row r="217" spans="1:4" ht="16" customHeight="1" thickBot="1" x14ac:dyDescent="0.2">
      <c r="A217" s="27">
        <v>205</v>
      </c>
      <c r="B217" s="606"/>
      <c r="C217" s="9" t="s">
        <v>206</v>
      </c>
      <c r="D217" s="21">
        <f t="shared" si="3"/>
        <v>0</v>
      </c>
    </row>
    <row r="218" spans="1:4" ht="16" customHeight="1" x14ac:dyDescent="0.15">
      <c r="A218" s="25">
        <v>206</v>
      </c>
      <c r="B218" s="605"/>
      <c r="C218" s="7" t="s">
        <v>207</v>
      </c>
      <c r="D218" s="21">
        <f t="shared" si="3"/>
        <v>0</v>
      </c>
    </row>
    <row r="219" spans="1:4" ht="16" customHeight="1" x14ac:dyDescent="0.15">
      <c r="A219" s="26">
        <v>207</v>
      </c>
      <c r="B219" s="605"/>
      <c r="C219" s="8" t="s">
        <v>208</v>
      </c>
      <c r="D219" s="21">
        <f t="shared" si="3"/>
        <v>0</v>
      </c>
    </row>
    <row r="220" spans="1:4" ht="16" customHeight="1" x14ac:dyDescent="0.15">
      <c r="A220" s="26">
        <v>208</v>
      </c>
      <c r="B220" s="605"/>
      <c r="C220" s="8" t="s">
        <v>209</v>
      </c>
      <c r="D220" s="21">
        <f t="shared" si="3"/>
        <v>0</v>
      </c>
    </row>
    <row r="221" spans="1:4" ht="16" customHeight="1" x14ac:dyDescent="0.15">
      <c r="A221" s="26">
        <v>209</v>
      </c>
      <c r="B221" s="605"/>
      <c r="C221" s="132" t="s">
        <v>210</v>
      </c>
      <c r="D221" s="21">
        <f t="shared" si="3"/>
        <v>0</v>
      </c>
    </row>
    <row r="222" spans="1:4" ht="16" customHeight="1" thickBot="1" x14ac:dyDescent="0.2">
      <c r="A222" s="27">
        <v>210</v>
      </c>
      <c r="B222" s="606"/>
      <c r="C222" s="9" t="s">
        <v>195</v>
      </c>
      <c r="D222" s="21">
        <f t="shared" si="3"/>
        <v>0</v>
      </c>
    </row>
    <row r="223" spans="1:4" ht="16" customHeight="1" x14ac:dyDescent="0.15">
      <c r="A223" s="25">
        <v>211</v>
      </c>
      <c r="B223" s="605"/>
      <c r="C223" s="7" t="s">
        <v>196</v>
      </c>
      <c r="D223" s="21">
        <f t="shared" si="3"/>
        <v>0</v>
      </c>
    </row>
    <row r="224" spans="1:4" ht="16" customHeight="1" x14ac:dyDescent="0.15">
      <c r="A224" s="26">
        <v>212</v>
      </c>
      <c r="B224" s="605"/>
      <c r="C224" s="8" t="s">
        <v>197</v>
      </c>
      <c r="D224" s="21">
        <f t="shared" si="3"/>
        <v>0</v>
      </c>
    </row>
    <row r="225" spans="1:4" ht="16" customHeight="1" x14ac:dyDescent="0.15">
      <c r="A225" s="26">
        <v>213</v>
      </c>
      <c r="B225" s="605"/>
      <c r="C225" s="8" t="s">
        <v>198</v>
      </c>
      <c r="D225" s="21">
        <f t="shared" si="3"/>
        <v>0</v>
      </c>
    </row>
    <row r="226" spans="1:4" ht="16" customHeight="1" x14ac:dyDescent="0.15">
      <c r="A226" s="26">
        <v>214</v>
      </c>
      <c r="B226" s="605"/>
      <c r="C226" s="8" t="s">
        <v>199</v>
      </c>
      <c r="D226" s="21">
        <f t="shared" si="3"/>
        <v>0</v>
      </c>
    </row>
    <row r="227" spans="1:4" ht="16" customHeight="1" thickBot="1" x14ac:dyDescent="0.2">
      <c r="A227" s="27">
        <v>215</v>
      </c>
      <c r="B227" s="606"/>
      <c r="C227" s="9" t="s">
        <v>200</v>
      </c>
      <c r="D227" s="21">
        <f t="shared" si="3"/>
        <v>0</v>
      </c>
    </row>
    <row r="228" spans="1:4" ht="16" customHeight="1" x14ac:dyDescent="0.15">
      <c r="A228" s="25">
        <v>216</v>
      </c>
      <c r="B228" s="607"/>
      <c r="C228" s="7" t="s">
        <v>161</v>
      </c>
      <c r="D228" s="21">
        <f t="shared" si="3"/>
        <v>0</v>
      </c>
    </row>
    <row r="229" spans="1:4" ht="16" customHeight="1" x14ac:dyDescent="0.15">
      <c r="A229" s="26">
        <v>217</v>
      </c>
      <c r="B229" s="603"/>
      <c r="C229" s="8" t="s">
        <v>160</v>
      </c>
      <c r="D229" s="21">
        <f t="shared" si="3"/>
        <v>0</v>
      </c>
    </row>
    <row r="230" spans="1:4" ht="16" customHeight="1" thickBot="1" x14ac:dyDescent="0.2">
      <c r="A230" s="27">
        <v>218</v>
      </c>
      <c r="B230" s="608"/>
      <c r="C230" s="9" t="s">
        <v>159</v>
      </c>
      <c r="D230" s="21">
        <f t="shared" si="3"/>
        <v>0</v>
      </c>
    </row>
    <row r="231" spans="1:4" x14ac:dyDescent="0.15">
      <c r="C231" s="5"/>
    </row>
  </sheetData>
  <sheetProtection algorithmName="SHA-512" hashValue="SwYrLvbLGKy4GgiWrf87wjxNcRDW68MfsHEtZIXKnsw29FWeF2N30VkxX7cr1v2VwKWoC5oryxXobKjZERqf+g==" saltValue="WjLXDfAN4nrrDxBuD572lA==" spinCount="100000" sheet="1" selectLockedCells="1"/>
  <customSheetViews>
    <customSheetView guid="{B1378614-543A-7248-A620-ABE87072D4CE}" scale="120" hiddenColumns="1">
      <pane ySplit="1" topLeftCell="A86" activePane="bottomLeft" state="frozen"/>
      <selection pane="bottomLeft" activeCell="B92" sqref="B92"/>
      <pageMargins left="0.75" right="0.75" top="1" bottom="1" header="0.5" footer="0.5"/>
      <printOptions horizontalCentered="1"/>
      <pageSetup orientation="portrait" horizontalDpi="300" verticalDpi="300"/>
    </customSheetView>
    <customSheetView guid="{DB569172-C410-4CCD-B270-56E8B6227EED}" scale="120" hiddenColumns="1">
      <pane ySplit="1" topLeftCell="A2" activePane="bottomLeft" state="frozen"/>
      <selection pane="bottomLeft" activeCell="B230" sqref="B13:B230"/>
      <pageMargins left="0.75" right="0.75" top="1" bottom="1" header="0.5" footer="0.5"/>
      <printOptions horizontalCentered="1"/>
      <pageSetup orientation="portrait" horizontalDpi="300" verticalDpi="300"/>
    </customSheetView>
  </customSheetViews>
  <mergeCells count="3">
    <mergeCell ref="B3:C3"/>
    <mergeCell ref="C10:C12"/>
    <mergeCell ref="B10:B12"/>
  </mergeCells>
  <phoneticPr fontId="0" type="noConversion"/>
  <printOptions horizontalCentered="1"/>
  <pageMargins left="0.75" right="0.75" top="1" bottom="1" header="0.5" footer="0.5"/>
  <pageSetup orientation="portrait" horizontalDpi="300" verticalDpi="30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574"/>
  <sheetViews>
    <sheetView zoomScale="140" zoomScaleNormal="140" zoomScalePageLayoutView="120" workbookViewId="0">
      <selection activeCell="B401" sqref="B401"/>
    </sheetView>
  </sheetViews>
  <sheetFormatPr baseColWidth="10" defaultColWidth="9.33203125" defaultRowHeight="13" x14ac:dyDescent="0.15"/>
  <cols>
    <col min="1" max="1" width="9.33203125" style="13" customWidth="1"/>
    <col min="2" max="2" width="4.5" style="29" customWidth="1"/>
    <col min="3" max="3" width="42" style="13" customWidth="1"/>
    <col min="4" max="4" width="39.83203125" style="14" customWidth="1"/>
    <col min="5" max="5" width="12.6640625" style="13" customWidth="1"/>
    <col min="6" max="6" width="10.6640625" style="13" customWidth="1"/>
    <col min="7" max="7" width="11.5" style="13" customWidth="1"/>
    <col min="8" max="11" width="7.6640625" style="13" customWidth="1"/>
    <col min="12" max="12" width="8.33203125" style="13" customWidth="1"/>
    <col min="13" max="17" width="7.6640625" style="13" customWidth="1"/>
    <col min="18" max="18" width="7.6640625" style="15" customWidth="1"/>
    <col min="19" max="19" width="7.6640625" style="13" customWidth="1"/>
    <col min="20" max="16384" width="9.33203125" style="13"/>
  </cols>
  <sheetData>
    <row r="1" spans="1:18" ht="18" x14ac:dyDescent="0.15">
      <c r="A1" s="12" t="s">
        <v>289</v>
      </c>
    </row>
    <row r="2" spans="1:18" ht="29" customHeight="1" x14ac:dyDescent="0.15">
      <c r="A2" s="688" t="s">
        <v>36</v>
      </c>
      <c r="B2" s="688"/>
      <c r="C2" s="688"/>
    </row>
    <row r="5" spans="1:18" ht="14" customHeight="1" x14ac:dyDescent="0.15">
      <c r="C5" s="135" t="s">
        <v>501</v>
      </c>
      <c r="D5" s="409" t="s">
        <v>423</v>
      </c>
      <c r="E5" s="410" t="s">
        <v>498</v>
      </c>
      <c r="F5" s="411"/>
      <c r="G5" s="412"/>
      <c r="H5" s="412"/>
      <c r="I5" s="28"/>
    </row>
    <row r="6" spans="1:18" ht="14" customHeight="1" x14ac:dyDescent="0.15">
      <c r="D6" s="407" t="s">
        <v>422</v>
      </c>
      <c r="E6" s="689" t="s">
        <v>499</v>
      </c>
      <c r="F6" s="689"/>
      <c r="G6" s="689"/>
      <c r="H6" s="689"/>
    </row>
    <row r="7" spans="1:18" x14ac:dyDescent="0.15">
      <c r="D7" s="408" t="s">
        <v>424</v>
      </c>
      <c r="E7" s="413" t="s">
        <v>500</v>
      </c>
      <c r="F7" s="413"/>
      <c r="G7" s="413"/>
      <c r="H7" s="412"/>
    </row>
    <row r="8" spans="1:18" x14ac:dyDescent="0.15">
      <c r="D8" s="136"/>
    </row>
    <row r="9" spans="1:18" ht="16" x14ac:dyDescent="0.15">
      <c r="A9" s="22"/>
      <c r="D9" s="136" t="s">
        <v>502</v>
      </c>
    </row>
    <row r="10" spans="1:18" x14ac:dyDescent="0.15">
      <c r="B10" s="30" t="s">
        <v>13</v>
      </c>
      <c r="C10" s="23"/>
      <c r="D10" s="109"/>
      <c r="E10" s="110"/>
      <c r="F10" s="110"/>
      <c r="G10" s="110"/>
      <c r="H10" s="110"/>
      <c r="I10" s="110"/>
      <c r="J10" s="110"/>
      <c r="K10" s="110"/>
      <c r="L10" s="110"/>
      <c r="M10" s="110"/>
      <c r="N10" s="110"/>
      <c r="O10" s="110"/>
      <c r="P10" s="110"/>
      <c r="Q10" s="110"/>
      <c r="R10" s="111"/>
    </row>
    <row r="11" spans="1:18" x14ac:dyDescent="0.15">
      <c r="B11" s="30"/>
      <c r="C11" s="169" t="s">
        <v>755</v>
      </c>
      <c r="D11" s="18">
        <f>10-(AVERAGE(E11:P11))</f>
        <v>10</v>
      </c>
      <c r="E11" s="13">
        <f>_Q1</f>
        <v>0</v>
      </c>
      <c r="F11" s="13">
        <f>_Q10</f>
        <v>0</v>
      </c>
      <c r="G11" s="13">
        <f>_Q33</f>
        <v>0</v>
      </c>
      <c r="H11" s="13">
        <f>_Q65</f>
        <v>0</v>
      </c>
      <c r="I11" s="13">
        <f>_Q87</f>
        <v>0</v>
      </c>
      <c r="J11" s="13">
        <f>_Q88</f>
        <v>0</v>
      </c>
      <c r="K11" s="13">
        <f>_Q100</f>
        <v>0</v>
      </c>
      <c r="L11" s="13">
        <f>_Q109</f>
        <v>0</v>
      </c>
      <c r="M11" s="13">
        <f>_Q110</f>
        <v>0</v>
      </c>
      <c r="N11" s="13">
        <f>_Q121</f>
        <v>0</v>
      </c>
      <c r="O11" s="13">
        <f>_Q132</f>
        <v>0</v>
      </c>
      <c r="P11" s="13">
        <f>_Q142</f>
        <v>0</v>
      </c>
      <c r="R11" s="18">
        <f>AVERAGE(E11:P11)*10</f>
        <v>0</v>
      </c>
    </row>
    <row r="12" spans="1:18" x14ac:dyDescent="0.15">
      <c r="A12" s="418"/>
      <c r="B12" s="30"/>
      <c r="C12" s="528" t="s">
        <v>756</v>
      </c>
      <c r="D12" s="19">
        <f>SUM(E13:P13)</f>
        <v>12</v>
      </c>
      <c r="E12" s="20">
        <v>0</v>
      </c>
      <c r="F12" s="20">
        <v>0</v>
      </c>
      <c r="G12" s="20">
        <v>0</v>
      </c>
      <c r="H12" s="20">
        <v>0</v>
      </c>
      <c r="I12" s="20">
        <v>0</v>
      </c>
      <c r="J12" s="20">
        <v>0</v>
      </c>
      <c r="K12" s="20">
        <v>0</v>
      </c>
      <c r="L12" s="20">
        <v>0</v>
      </c>
      <c r="M12" s="20">
        <v>0</v>
      </c>
      <c r="N12" s="20">
        <v>0</v>
      </c>
      <c r="O12" s="20">
        <v>0</v>
      </c>
      <c r="P12" s="20">
        <v>0</v>
      </c>
    </row>
    <row r="13" spans="1:18" x14ac:dyDescent="0.15">
      <c r="B13" s="30"/>
      <c r="C13" s="528" t="s">
        <v>757</v>
      </c>
      <c r="D13" s="49">
        <f>AVERAGE(E13:P13)*100</f>
        <v>100</v>
      </c>
      <c r="E13" s="21">
        <f>IF(E11=0,1,0)</f>
        <v>1</v>
      </c>
      <c r="F13" s="21">
        <f t="shared" ref="F13:P13" si="0">IF(F11=0,1,0)</f>
        <v>1</v>
      </c>
      <c r="G13" s="21">
        <f t="shared" si="0"/>
        <v>1</v>
      </c>
      <c r="H13" s="21">
        <f t="shared" si="0"/>
        <v>1</v>
      </c>
      <c r="I13" s="21">
        <f t="shared" si="0"/>
        <v>1</v>
      </c>
      <c r="J13" s="21">
        <f t="shared" si="0"/>
        <v>1</v>
      </c>
      <c r="K13" s="21">
        <f t="shared" si="0"/>
        <v>1</v>
      </c>
      <c r="L13" s="21">
        <f t="shared" si="0"/>
        <v>1</v>
      </c>
      <c r="M13" s="21">
        <f t="shared" si="0"/>
        <v>1</v>
      </c>
      <c r="N13" s="21">
        <f t="shared" si="0"/>
        <v>1</v>
      </c>
      <c r="O13" s="21">
        <f t="shared" si="0"/>
        <v>1</v>
      </c>
      <c r="P13" s="21">
        <f t="shared" si="0"/>
        <v>1</v>
      </c>
    </row>
    <row r="14" spans="1:18" x14ac:dyDescent="0.15">
      <c r="B14" s="30"/>
      <c r="C14" s="23"/>
    </row>
    <row r="15" spans="1:18" x14ac:dyDescent="0.15">
      <c r="B15" s="30"/>
      <c r="C15" s="23" t="s">
        <v>0</v>
      </c>
      <c r="D15" s="18">
        <f>AVERAGE(E15:P15)</f>
        <v>0</v>
      </c>
      <c r="E15" s="13">
        <f>_Q29</f>
        <v>0</v>
      </c>
      <c r="F15" s="13">
        <f>_Q35</f>
        <v>0</v>
      </c>
      <c r="G15" s="13">
        <f>_Q45</f>
        <v>0</v>
      </c>
      <c r="H15" s="13">
        <f>_Q54</f>
        <v>0</v>
      </c>
      <c r="I15" s="13">
        <f>_Q59</f>
        <v>0</v>
      </c>
      <c r="J15" s="13">
        <f>_Q62</f>
        <v>0</v>
      </c>
      <c r="K15" s="13">
        <f>_Q68</f>
        <v>0</v>
      </c>
      <c r="L15" s="13">
        <f>_Q73</f>
        <v>0</v>
      </c>
      <c r="M15" s="13">
        <f>_Q96</f>
        <v>0</v>
      </c>
      <c r="N15" s="13">
        <f>_Q111</f>
        <v>0</v>
      </c>
      <c r="O15" s="13">
        <f>_Q124</f>
        <v>0</v>
      </c>
      <c r="P15" s="13">
        <f>_Q213</f>
        <v>0</v>
      </c>
    </row>
    <row r="16" spans="1:18" x14ac:dyDescent="0.15">
      <c r="B16" s="30"/>
      <c r="C16" s="23"/>
      <c r="D16" s="19">
        <f>SUM(E17:P17)</f>
        <v>0</v>
      </c>
      <c r="E16" s="20">
        <v>5</v>
      </c>
      <c r="F16" s="20">
        <v>5</v>
      </c>
      <c r="G16" s="20">
        <v>5</v>
      </c>
      <c r="H16" s="20">
        <v>6</v>
      </c>
      <c r="I16" s="20">
        <v>3</v>
      </c>
      <c r="J16" s="20">
        <v>7</v>
      </c>
      <c r="K16" s="20">
        <v>5</v>
      </c>
      <c r="L16" s="20">
        <v>5</v>
      </c>
      <c r="M16" s="20">
        <v>5</v>
      </c>
      <c r="N16" s="20">
        <v>6</v>
      </c>
      <c r="O16" s="20">
        <v>7</v>
      </c>
      <c r="P16" s="20">
        <v>5</v>
      </c>
    </row>
    <row r="17" spans="1:18" x14ac:dyDescent="0.15">
      <c r="B17" s="30"/>
      <c r="C17" s="23"/>
      <c r="D17" s="49">
        <f>AVERAGE(E17:P17)*100</f>
        <v>0</v>
      </c>
      <c r="E17" s="21">
        <f t="shared" ref="E17:P17" si="1">IF(E15&lt;E16,0,1)</f>
        <v>0</v>
      </c>
      <c r="F17" s="21">
        <f t="shared" si="1"/>
        <v>0</v>
      </c>
      <c r="G17" s="21">
        <f t="shared" si="1"/>
        <v>0</v>
      </c>
      <c r="H17" s="21">
        <f t="shared" si="1"/>
        <v>0</v>
      </c>
      <c r="I17" s="21">
        <f t="shared" si="1"/>
        <v>0</v>
      </c>
      <c r="J17" s="21">
        <f t="shared" si="1"/>
        <v>0</v>
      </c>
      <c r="K17" s="21">
        <f t="shared" si="1"/>
        <v>0</v>
      </c>
      <c r="L17" s="21">
        <f t="shared" si="1"/>
        <v>0</v>
      </c>
      <c r="M17" s="21">
        <f t="shared" si="1"/>
        <v>0</v>
      </c>
      <c r="N17" s="21">
        <f t="shared" si="1"/>
        <v>0</v>
      </c>
      <c r="O17" s="21">
        <f t="shared" si="1"/>
        <v>0</v>
      </c>
      <c r="P17" s="21">
        <f t="shared" si="1"/>
        <v>0</v>
      </c>
    </row>
    <row r="18" spans="1:18" x14ac:dyDescent="0.15">
      <c r="B18" s="30"/>
      <c r="C18" s="23"/>
    </row>
    <row r="19" spans="1:18" x14ac:dyDescent="0.15">
      <c r="B19" s="30"/>
      <c r="C19" s="23" t="s">
        <v>1</v>
      </c>
      <c r="D19" s="18">
        <f>AVERAGE(E19:P19)</f>
        <v>0</v>
      </c>
      <c r="E19" s="13">
        <f>_Q12</f>
        <v>0</v>
      </c>
      <c r="F19" s="13">
        <f>_Q47</f>
        <v>0</v>
      </c>
      <c r="G19" s="13">
        <f>_Q51</f>
        <v>0</v>
      </c>
      <c r="H19" s="13">
        <f>_Q93</f>
        <v>0</v>
      </c>
      <c r="I19" s="13">
        <f>_Q128</f>
        <v>0</v>
      </c>
      <c r="J19" s="13">
        <f>_Q175</f>
        <v>0</v>
      </c>
      <c r="K19" s="13">
        <f>_Q178</f>
        <v>0</v>
      </c>
    </row>
    <row r="20" spans="1:18" x14ac:dyDescent="0.15">
      <c r="B20" s="30"/>
      <c r="C20" s="23"/>
      <c r="D20" s="19">
        <f>SUM(E21:P21)</f>
        <v>0</v>
      </c>
      <c r="E20" s="20">
        <v>3</v>
      </c>
      <c r="F20" s="20">
        <v>5</v>
      </c>
      <c r="G20" s="20">
        <v>5</v>
      </c>
      <c r="H20" s="20">
        <v>7</v>
      </c>
      <c r="I20" s="20">
        <v>6</v>
      </c>
      <c r="J20" s="20">
        <v>6</v>
      </c>
      <c r="K20" s="20">
        <v>4</v>
      </c>
    </row>
    <row r="21" spans="1:18" x14ac:dyDescent="0.15">
      <c r="B21" s="30"/>
      <c r="C21" s="23"/>
      <c r="D21" s="49">
        <f>AVERAGE(E21:P21)*100</f>
        <v>0</v>
      </c>
      <c r="E21" s="21">
        <f t="shared" ref="E21:K21" si="2">IF(E19&lt;E20,0,1)</f>
        <v>0</v>
      </c>
      <c r="F21" s="21">
        <f t="shared" si="2"/>
        <v>0</v>
      </c>
      <c r="G21" s="21">
        <f t="shared" si="2"/>
        <v>0</v>
      </c>
      <c r="H21" s="21">
        <f t="shared" si="2"/>
        <v>0</v>
      </c>
      <c r="I21" s="21">
        <f t="shared" si="2"/>
        <v>0</v>
      </c>
      <c r="J21" s="21">
        <f t="shared" si="2"/>
        <v>0</v>
      </c>
      <c r="K21" s="21">
        <f t="shared" si="2"/>
        <v>0</v>
      </c>
    </row>
    <row r="22" spans="1:18" x14ac:dyDescent="0.15">
      <c r="B22" s="30"/>
      <c r="C22" s="23"/>
    </row>
    <row r="23" spans="1:18" x14ac:dyDescent="0.15">
      <c r="B23" s="30"/>
      <c r="C23" s="23" t="s">
        <v>128</v>
      </c>
      <c r="D23" s="18">
        <f>AVERAGE(E23:P23)</f>
        <v>0</v>
      </c>
      <c r="E23" s="13">
        <f>_Q11</f>
        <v>0</v>
      </c>
      <c r="F23" s="13">
        <f>_Q26</f>
        <v>0</v>
      </c>
      <c r="G23" s="13">
        <f>_Q40</f>
        <v>0</v>
      </c>
      <c r="H23" s="13">
        <f>_Q52</f>
        <v>0</v>
      </c>
      <c r="I23" s="13">
        <f>_Q55</f>
        <v>0</v>
      </c>
      <c r="J23" s="13">
        <f>_Q98</f>
        <v>0</v>
      </c>
      <c r="K23" s="13">
        <f>_Q126</f>
        <v>0</v>
      </c>
      <c r="L23" s="13">
        <f>_Q153</f>
        <v>0</v>
      </c>
      <c r="M23" s="13">
        <f>_Q163</f>
        <v>0</v>
      </c>
      <c r="N23" s="13">
        <f>_Q167</f>
        <v>0</v>
      </c>
      <c r="O23" s="13">
        <f>_Q182</f>
        <v>0</v>
      </c>
      <c r="P23" s="13">
        <f>_Q206</f>
        <v>0</v>
      </c>
    </row>
    <row r="24" spans="1:18" x14ac:dyDescent="0.15">
      <c r="B24" s="30"/>
      <c r="C24" s="23"/>
      <c r="D24" s="19">
        <f>SUM(E25:P25)</f>
        <v>0</v>
      </c>
      <c r="E24" s="20">
        <v>1</v>
      </c>
      <c r="F24" s="20">
        <v>1</v>
      </c>
      <c r="G24" s="20">
        <v>1</v>
      </c>
      <c r="H24" s="20">
        <v>1</v>
      </c>
      <c r="I24" s="20">
        <v>1</v>
      </c>
      <c r="J24" s="20">
        <v>1</v>
      </c>
      <c r="K24" s="20">
        <v>1</v>
      </c>
      <c r="L24" s="20">
        <v>1</v>
      </c>
      <c r="M24" s="20">
        <v>1</v>
      </c>
      <c r="N24" s="20">
        <v>1</v>
      </c>
      <c r="O24" s="20">
        <v>1</v>
      </c>
      <c r="P24" s="20">
        <v>1</v>
      </c>
    </row>
    <row r="25" spans="1:18" x14ac:dyDescent="0.15">
      <c r="B25" s="30"/>
      <c r="C25" s="23"/>
      <c r="D25" s="49">
        <f>AVERAGE(E25:P25)*100</f>
        <v>0</v>
      </c>
      <c r="E25" s="21">
        <f t="shared" ref="E25:P25" si="3">IF(E23&lt;E24,0,1)</f>
        <v>0</v>
      </c>
      <c r="F25" s="21">
        <f t="shared" si="3"/>
        <v>0</v>
      </c>
      <c r="G25" s="21">
        <f t="shared" si="3"/>
        <v>0</v>
      </c>
      <c r="H25" s="21">
        <f t="shared" si="3"/>
        <v>0</v>
      </c>
      <c r="I25" s="21">
        <f t="shared" si="3"/>
        <v>0</v>
      </c>
      <c r="J25" s="21">
        <f t="shared" si="3"/>
        <v>0</v>
      </c>
      <c r="K25" s="21">
        <f t="shared" si="3"/>
        <v>0</v>
      </c>
      <c r="L25" s="21">
        <f t="shared" si="3"/>
        <v>0</v>
      </c>
      <c r="M25" s="21">
        <f t="shared" si="3"/>
        <v>0</v>
      </c>
      <c r="N25" s="21">
        <f t="shared" si="3"/>
        <v>0</v>
      </c>
      <c r="O25" s="21">
        <f t="shared" si="3"/>
        <v>0</v>
      </c>
      <c r="P25" s="21">
        <f t="shared" si="3"/>
        <v>0</v>
      </c>
    </row>
    <row r="26" spans="1:18" x14ac:dyDescent="0.15">
      <c r="B26" s="30"/>
      <c r="C26" s="23"/>
    </row>
    <row r="27" spans="1:18" x14ac:dyDescent="0.15">
      <c r="B27" s="30"/>
      <c r="C27" s="23" t="s">
        <v>129</v>
      </c>
      <c r="D27" s="18">
        <f>AVERAGE(E27:P27)</f>
        <v>0</v>
      </c>
      <c r="E27" s="13">
        <f>_Q21</f>
        <v>0</v>
      </c>
      <c r="F27" s="13">
        <f>_Q38</f>
        <v>0</v>
      </c>
      <c r="G27" s="13">
        <f>_Q63</f>
        <v>0</v>
      </c>
      <c r="H27" s="13">
        <f>_Q70</f>
        <v>0</v>
      </c>
      <c r="I27" s="13">
        <f>_Q75</f>
        <v>0</v>
      </c>
      <c r="J27" s="13">
        <f>_Q130</f>
        <v>0</v>
      </c>
      <c r="K27" s="13">
        <f>_Q155</f>
        <v>0</v>
      </c>
    </row>
    <row r="28" spans="1:18" x14ac:dyDescent="0.15">
      <c r="B28" s="30"/>
      <c r="C28" s="23"/>
      <c r="D28" s="19">
        <f>SUM(E29:P29)</f>
        <v>0</v>
      </c>
      <c r="E28" s="20">
        <v>1</v>
      </c>
      <c r="F28" s="20">
        <v>1</v>
      </c>
      <c r="G28" s="20">
        <v>3</v>
      </c>
      <c r="H28" s="20">
        <v>2</v>
      </c>
      <c r="I28" s="20">
        <v>7</v>
      </c>
      <c r="J28" s="20">
        <v>2</v>
      </c>
      <c r="K28" s="20">
        <v>3</v>
      </c>
    </row>
    <row r="29" spans="1:18" x14ac:dyDescent="0.15">
      <c r="B29" s="30"/>
      <c r="C29" s="23"/>
      <c r="D29" s="49">
        <f>AVERAGE(E29:P29)*100</f>
        <v>0</v>
      </c>
      <c r="E29" s="21">
        <f t="shared" ref="E29:K29" si="4">IF(E27&lt;E28,0,1)</f>
        <v>0</v>
      </c>
      <c r="F29" s="21">
        <f t="shared" si="4"/>
        <v>0</v>
      </c>
      <c r="G29" s="21">
        <f t="shared" si="4"/>
        <v>0</v>
      </c>
      <c r="H29" s="21">
        <f t="shared" si="4"/>
        <v>0</v>
      </c>
      <c r="I29" s="21">
        <f t="shared" si="4"/>
        <v>0</v>
      </c>
      <c r="J29" s="21">
        <f t="shared" si="4"/>
        <v>0</v>
      </c>
      <c r="K29" s="21">
        <f t="shared" si="4"/>
        <v>0</v>
      </c>
    </row>
    <row r="30" spans="1:18" x14ac:dyDescent="0.15">
      <c r="B30" s="30"/>
      <c r="C30" s="110"/>
      <c r="D30" s="527"/>
      <c r="E30" s="516"/>
      <c r="F30" s="516"/>
      <c r="G30" s="516"/>
      <c r="H30" s="516"/>
      <c r="I30" s="516"/>
      <c r="J30" s="516"/>
      <c r="K30" s="516"/>
      <c r="L30" s="110"/>
      <c r="M30" s="110"/>
      <c r="N30" s="110"/>
      <c r="O30" s="110"/>
      <c r="P30" s="110"/>
      <c r="Q30" s="110"/>
      <c r="R30" s="111"/>
    </row>
    <row r="31" spans="1:18" x14ac:dyDescent="0.15">
      <c r="E31" s="21"/>
      <c r="F31" s="21"/>
      <c r="G31" s="21"/>
      <c r="H31" s="21"/>
      <c r="I31" s="21"/>
      <c r="J31" s="21"/>
      <c r="K31" s="21"/>
    </row>
    <row r="32" spans="1:18" ht="16" x14ac:dyDescent="0.15">
      <c r="A32" s="592" t="s">
        <v>309</v>
      </c>
    </row>
    <row r="33" spans="1:18" x14ac:dyDescent="0.15">
      <c r="B33" s="112" t="s">
        <v>711</v>
      </c>
      <c r="C33" s="110"/>
      <c r="D33" s="109"/>
      <c r="E33" s="110"/>
      <c r="F33" s="110"/>
      <c r="G33" s="110"/>
      <c r="H33" s="110"/>
      <c r="I33" s="110"/>
      <c r="J33" s="110"/>
      <c r="K33" s="110"/>
      <c r="L33" s="110"/>
      <c r="M33" s="110"/>
      <c r="N33" s="110"/>
      <c r="O33" s="110"/>
      <c r="P33" s="110"/>
      <c r="Q33" s="110"/>
      <c r="R33" s="111"/>
    </row>
    <row r="34" spans="1:18" x14ac:dyDescent="0.15">
      <c r="B34" s="30"/>
      <c r="C34" s="23" t="s">
        <v>130</v>
      </c>
      <c r="D34" s="18">
        <f>AVERAGE(E34:P34)</f>
        <v>0</v>
      </c>
      <c r="E34" s="13">
        <f>_Q2</f>
        <v>0</v>
      </c>
      <c r="F34" s="13">
        <f>_Q24</f>
        <v>0</v>
      </c>
      <c r="G34" s="13">
        <f>_Q67</f>
        <v>0</v>
      </c>
      <c r="H34" s="13">
        <f>_Q78</f>
        <v>0</v>
      </c>
      <c r="I34" s="13">
        <f>_Q79</f>
        <v>0</v>
      </c>
      <c r="J34" s="13">
        <f>_Q90</f>
        <v>0</v>
      </c>
      <c r="K34" s="13">
        <f>_Q102</f>
        <v>0</v>
      </c>
      <c r="L34" s="13">
        <f>_Q122</f>
        <v>0</v>
      </c>
      <c r="M34" s="13">
        <f>_Q134</f>
        <v>0</v>
      </c>
      <c r="N34" s="13">
        <f>_Q143</f>
        <v>0</v>
      </c>
      <c r="O34" s="13">
        <f>_Q154</f>
        <v>0</v>
      </c>
      <c r="P34" s="13">
        <f>_Q211</f>
        <v>0</v>
      </c>
    </row>
    <row r="35" spans="1:18" x14ac:dyDescent="0.15">
      <c r="A35" s="21">
        <f>IF(D35&gt;=1,1,0)</f>
        <v>0</v>
      </c>
      <c r="B35" s="30"/>
      <c r="C35" s="23"/>
      <c r="D35" s="19">
        <f>SUM(E36:Q36)/R35</f>
        <v>0</v>
      </c>
      <c r="E35" s="20">
        <v>4</v>
      </c>
      <c r="F35" s="20">
        <v>2</v>
      </c>
      <c r="G35" s="20">
        <v>3</v>
      </c>
      <c r="H35" s="20">
        <v>5</v>
      </c>
      <c r="I35" s="20">
        <v>3</v>
      </c>
      <c r="J35" s="20">
        <v>3</v>
      </c>
      <c r="K35" s="20">
        <v>3</v>
      </c>
      <c r="L35" s="20">
        <v>3</v>
      </c>
      <c r="M35" s="20">
        <v>2</v>
      </c>
      <c r="N35" s="20">
        <v>2</v>
      </c>
      <c r="O35" s="20">
        <v>4</v>
      </c>
      <c r="P35" s="20">
        <v>2</v>
      </c>
      <c r="Q35" s="20"/>
      <c r="R35" s="15">
        <v>5</v>
      </c>
    </row>
    <row r="36" spans="1:18" x14ac:dyDescent="0.15">
      <c r="B36" s="30"/>
      <c r="C36" s="23"/>
      <c r="D36" s="49">
        <f>AVERAGE(E36:P36)*100</f>
        <v>0</v>
      </c>
      <c r="E36" s="21">
        <f>IF(E34&lt;E35,0,1)</f>
        <v>0</v>
      </c>
      <c r="F36" s="21">
        <f t="shared" ref="F36:P36" si="5">IF(F34&lt;F35,0,1)</f>
        <v>0</v>
      </c>
      <c r="G36" s="21">
        <f t="shared" si="5"/>
        <v>0</v>
      </c>
      <c r="H36" s="21">
        <f t="shared" si="5"/>
        <v>0</v>
      </c>
      <c r="I36" s="21">
        <f t="shared" si="5"/>
        <v>0</v>
      </c>
      <c r="J36" s="21">
        <f t="shared" si="5"/>
        <v>0</v>
      </c>
      <c r="K36" s="21">
        <f t="shared" si="5"/>
        <v>0</v>
      </c>
      <c r="L36" s="21">
        <f t="shared" si="5"/>
        <v>0</v>
      </c>
      <c r="M36" s="21">
        <f t="shared" si="5"/>
        <v>0</v>
      </c>
      <c r="N36" s="21">
        <f t="shared" si="5"/>
        <v>0</v>
      </c>
      <c r="O36" s="21">
        <f t="shared" si="5"/>
        <v>0</v>
      </c>
      <c r="P36" s="21">
        <f t="shared" si="5"/>
        <v>0</v>
      </c>
    </row>
    <row r="37" spans="1:18" x14ac:dyDescent="0.15">
      <c r="B37" s="30"/>
      <c r="C37" s="23"/>
    </row>
    <row r="38" spans="1:18" x14ac:dyDescent="0.15">
      <c r="B38" s="30"/>
      <c r="C38" s="23" t="s">
        <v>131</v>
      </c>
      <c r="D38" s="18">
        <f>AVERAGE(E38:P38)</f>
        <v>0</v>
      </c>
      <c r="E38" s="13">
        <f>_Q3</f>
        <v>0</v>
      </c>
      <c r="F38" s="13">
        <f>_Q25</f>
        <v>0</v>
      </c>
      <c r="G38" s="13">
        <f>_Q36</f>
        <v>0</v>
      </c>
      <c r="H38" s="13">
        <f>_Q44</f>
        <v>0</v>
      </c>
      <c r="I38" s="13">
        <f>_Q91</f>
        <v>0</v>
      </c>
      <c r="J38" s="13">
        <f>_Q103</f>
        <v>0</v>
      </c>
      <c r="K38" s="13">
        <f>_Q113</f>
        <v>0</v>
      </c>
      <c r="L38" s="13">
        <f>_Q123</f>
        <v>0</v>
      </c>
      <c r="M38" s="13">
        <f>_Q133</f>
        <v>0</v>
      </c>
      <c r="N38" s="13">
        <f>_Q135</f>
        <v>0</v>
      </c>
      <c r="O38" s="13">
        <f>_Q164</f>
        <v>0</v>
      </c>
      <c r="P38" s="13">
        <f>_Q172</f>
        <v>0</v>
      </c>
    </row>
    <row r="39" spans="1:18" x14ac:dyDescent="0.15">
      <c r="A39" s="21">
        <f>IF(D39&gt;=1,1,0)</f>
        <v>0</v>
      </c>
      <c r="B39" s="30"/>
      <c r="C39" s="23"/>
      <c r="D39" s="19">
        <f>SUM(E40:Q40)/R39</f>
        <v>0</v>
      </c>
      <c r="E39" s="20">
        <v>3</v>
      </c>
      <c r="F39" s="20">
        <v>4</v>
      </c>
      <c r="G39" s="20">
        <v>2</v>
      </c>
      <c r="H39" s="20">
        <v>4</v>
      </c>
      <c r="I39" s="20">
        <v>1</v>
      </c>
      <c r="J39" s="20">
        <v>2</v>
      </c>
      <c r="K39" s="20">
        <v>4</v>
      </c>
      <c r="L39" s="20">
        <v>1</v>
      </c>
      <c r="M39" s="20">
        <v>3</v>
      </c>
      <c r="N39" s="20">
        <v>3</v>
      </c>
      <c r="O39" s="20">
        <v>2</v>
      </c>
      <c r="P39" s="20">
        <v>1</v>
      </c>
      <c r="R39" s="15">
        <v>4</v>
      </c>
    </row>
    <row r="40" spans="1:18" x14ac:dyDescent="0.15">
      <c r="B40" s="30"/>
      <c r="C40" s="23"/>
      <c r="D40" s="49">
        <f>AVERAGE(E40:P40)*100</f>
        <v>0</v>
      </c>
      <c r="E40" s="21">
        <f>IF(E38&lt;E39,0,1)</f>
        <v>0</v>
      </c>
      <c r="F40" s="21">
        <f t="shared" ref="F40:P40" si="6">IF(F38&lt;F39,0,1)</f>
        <v>0</v>
      </c>
      <c r="G40" s="21">
        <f t="shared" si="6"/>
        <v>0</v>
      </c>
      <c r="H40" s="21">
        <f t="shared" si="6"/>
        <v>0</v>
      </c>
      <c r="I40" s="21">
        <f t="shared" si="6"/>
        <v>0</v>
      </c>
      <c r="J40" s="21">
        <f t="shared" si="6"/>
        <v>0</v>
      </c>
      <c r="K40" s="21">
        <f t="shared" si="6"/>
        <v>0</v>
      </c>
      <c r="L40" s="21">
        <f t="shared" si="6"/>
        <v>0</v>
      </c>
      <c r="M40" s="21">
        <f t="shared" si="6"/>
        <v>0</v>
      </c>
      <c r="N40" s="21">
        <f t="shared" si="6"/>
        <v>0</v>
      </c>
      <c r="O40" s="21">
        <f t="shared" si="6"/>
        <v>0</v>
      </c>
      <c r="P40" s="21">
        <f t="shared" si="6"/>
        <v>0</v>
      </c>
    </row>
    <row r="41" spans="1:18" x14ac:dyDescent="0.15">
      <c r="B41" s="30"/>
      <c r="C41" s="23"/>
    </row>
    <row r="42" spans="1:18" x14ac:dyDescent="0.15">
      <c r="B42" s="30"/>
      <c r="C42" s="23" t="s">
        <v>132</v>
      </c>
      <c r="D42" s="18">
        <f>AVERAGE(E42:P42)</f>
        <v>0</v>
      </c>
      <c r="E42" s="13">
        <f>_Q5</f>
        <v>0</v>
      </c>
      <c r="F42" s="13">
        <f>_Q13</f>
        <v>0</v>
      </c>
      <c r="G42" s="13">
        <f>_Q37</f>
        <v>0</v>
      </c>
      <c r="H42" s="13">
        <f>_Q48</f>
        <v>0</v>
      </c>
      <c r="I42" s="13">
        <f>_Q58</f>
        <v>0</v>
      </c>
      <c r="J42" s="13">
        <f>_Q69</f>
        <v>0</v>
      </c>
      <c r="K42" s="13">
        <f>_Q80</f>
        <v>0</v>
      </c>
      <c r="L42" s="13">
        <f>_Q92</f>
        <v>0</v>
      </c>
      <c r="M42" s="13">
        <f>_Q104</f>
        <v>0</v>
      </c>
      <c r="N42" s="13">
        <f>_Q114</f>
        <v>0</v>
      </c>
      <c r="O42" s="13">
        <f>_Q144</f>
        <v>0</v>
      </c>
      <c r="P42" s="13">
        <f>_Q136</f>
        <v>0</v>
      </c>
    </row>
    <row r="43" spans="1:18" x14ac:dyDescent="0.15">
      <c r="A43" s="21">
        <f>IF(D43&gt;=1,1,0)</f>
        <v>0</v>
      </c>
      <c r="B43" s="30"/>
      <c r="C43" s="23"/>
      <c r="D43" s="19">
        <f>SUM(E44:Q44)/R43</f>
        <v>0</v>
      </c>
      <c r="E43" s="20">
        <v>3</v>
      </c>
      <c r="F43" s="20">
        <v>2</v>
      </c>
      <c r="G43" s="20">
        <v>3</v>
      </c>
      <c r="H43" s="20">
        <v>2</v>
      </c>
      <c r="I43" s="20">
        <v>1</v>
      </c>
      <c r="J43" s="20">
        <v>4</v>
      </c>
      <c r="K43" s="20">
        <v>1</v>
      </c>
      <c r="L43" s="20">
        <v>2</v>
      </c>
      <c r="M43" s="20">
        <v>1</v>
      </c>
      <c r="N43" s="20">
        <v>2</v>
      </c>
      <c r="O43" s="20">
        <v>2</v>
      </c>
      <c r="P43" s="20">
        <v>1</v>
      </c>
      <c r="R43" s="15">
        <v>4</v>
      </c>
    </row>
    <row r="44" spans="1:18" x14ac:dyDescent="0.15">
      <c r="B44" s="30"/>
      <c r="C44" s="23"/>
      <c r="D44" s="49">
        <f>AVERAGE(E44:P44)*100</f>
        <v>0</v>
      </c>
      <c r="E44" s="21">
        <f>IF(E42&lt;E43,0,1)</f>
        <v>0</v>
      </c>
      <c r="F44" s="21">
        <f t="shared" ref="F44:P44" si="7">IF(F42&lt;F43,0,1)</f>
        <v>0</v>
      </c>
      <c r="G44" s="21">
        <f t="shared" si="7"/>
        <v>0</v>
      </c>
      <c r="H44" s="21">
        <f t="shared" si="7"/>
        <v>0</v>
      </c>
      <c r="I44" s="21">
        <f t="shared" si="7"/>
        <v>0</v>
      </c>
      <c r="J44" s="21">
        <f t="shared" si="7"/>
        <v>0</v>
      </c>
      <c r="K44" s="21">
        <f t="shared" si="7"/>
        <v>0</v>
      </c>
      <c r="L44" s="21">
        <f t="shared" si="7"/>
        <v>0</v>
      </c>
      <c r="M44" s="21">
        <f t="shared" si="7"/>
        <v>0</v>
      </c>
      <c r="N44" s="21">
        <f t="shared" si="7"/>
        <v>0</v>
      </c>
      <c r="O44" s="21">
        <f t="shared" si="7"/>
        <v>0</v>
      </c>
      <c r="P44" s="21">
        <f t="shared" si="7"/>
        <v>0</v>
      </c>
    </row>
    <row r="45" spans="1:18" x14ac:dyDescent="0.15">
      <c r="B45" s="30"/>
      <c r="C45" s="23"/>
    </row>
    <row r="46" spans="1:18" x14ac:dyDescent="0.15">
      <c r="B46" s="30"/>
      <c r="C46" s="23" t="s">
        <v>133</v>
      </c>
      <c r="D46" s="18">
        <f>AVERAGE(E46:P46)</f>
        <v>0</v>
      </c>
      <c r="E46" s="13">
        <f>_Q14</f>
        <v>0</v>
      </c>
      <c r="F46" s="13">
        <f>_Q66</f>
        <v>0</v>
      </c>
      <c r="G46" s="13">
        <f>_Q81</f>
        <v>0</v>
      </c>
      <c r="H46" s="13">
        <f>_Q105</f>
        <v>0</v>
      </c>
      <c r="I46" s="13">
        <f>_Q115</f>
        <v>0</v>
      </c>
      <c r="J46" s="13">
        <f>_Q125</f>
        <v>0</v>
      </c>
      <c r="K46" s="13">
        <f>_Q137</f>
        <v>0</v>
      </c>
      <c r="L46" s="13">
        <f>_Q145</f>
        <v>0</v>
      </c>
      <c r="M46" s="13">
        <f>_Q156</f>
        <v>0</v>
      </c>
      <c r="N46" s="13">
        <f>_Q168</f>
        <v>0</v>
      </c>
      <c r="O46" s="13">
        <f>_Q176</f>
        <v>0</v>
      </c>
      <c r="P46" s="13">
        <f>_Q192</f>
        <v>0</v>
      </c>
    </row>
    <row r="47" spans="1:18" x14ac:dyDescent="0.15">
      <c r="A47" s="21">
        <f>IF(D47&gt;=1,1,0)</f>
        <v>0</v>
      </c>
      <c r="B47" s="30"/>
      <c r="C47" s="23"/>
      <c r="D47" s="19">
        <f>SUM(E48:Q48)/R47</f>
        <v>0</v>
      </c>
      <c r="E47" s="20">
        <v>2</v>
      </c>
      <c r="F47" s="20">
        <v>1</v>
      </c>
      <c r="G47" s="20">
        <v>1</v>
      </c>
      <c r="H47" s="20">
        <v>1</v>
      </c>
      <c r="I47" s="20">
        <v>2</v>
      </c>
      <c r="J47" s="20">
        <v>1</v>
      </c>
      <c r="K47" s="20">
        <v>1</v>
      </c>
      <c r="L47" s="20">
        <v>2</v>
      </c>
      <c r="M47" s="20">
        <v>1</v>
      </c>
      <c r="N47" s="20">
        <v>2</v>
      </c>
      <c r="O47" s="20">
        <v>2</v>
      </c>
      <c r="P47" s="20">
        <v>1</v>
      </c>
      <c r="R47" s="15">
        <v>5</v>
      </c>
    </row>
    <row r="48" spans="1:18" x14ac:dyDescent="0.15">
      <c r="B48" s="30"/>
      <c r="C48" s="23"/>
      <c r="D48" s="49">
        <f>AVERAGE(E48:P48)*100</f>
        <v>0</v>
      </c>
      <c r="E48" s="21">
        <f>IF(E46&lt;E47,0,1)</f>
        <v>0</v>
      </c>
      <c r="F48" s="21">
        <f t="shared" ref="F48:P48" si="8">IF(F46&lt;F47,0,1)</f>
        <v>0</v>
      </c>
      <c r="G48" s="21">
        <f t="shared" si="8"/>
        <v>0</v>
      </c>
      <c r="H48" s="21">
        <f t="shared" si="8"/>
        <v>0</v>
      </c>
      <c r="I48" s="21">
        <f t="shared" si="8"/>
        <v>0</v>
      </c>
      <c r="J48" s="21">
        <f t="shared" si="8"/>
        <v>0</v>
      </c>
      <c r="K48" s="21">
        <f t="shared" si="8"/>
        <v>0</v>
      </c>
      <c r="L48" s="21">
        <f t="shared" si="8"/>
        <v>0</v>
      </c>
      <c r="M48" s="21">
        <f t="shared" si="8"/>
        <v>0</v>
      </c>
      <c r="N48" s="21">
        <f t="shared" si="8"/>
        <v>0</v>
      </c>
      <c r="O48" s="21">
        <f t="shared" si="8"/>
        <v>0</v>
      </c>
      <c r="P48" s="21">
        <f t="shared" si="8"/>
        <v>0</v>
      </c>
    </row>
    <row r="49" spans="1:18" x14ac:dyDescent="0.15">
      <c r="B49" s="30"/>
      <c r="C49" s="23"/>
    </row>
    <row r="50" spans="1:18" x14ac:dyDescent="0.15">
      <c r="B50" s="30"/>
      <c r="C50" s="23" t="s">
        <v>43</v>
      </c>
      <c r="D50" s="18">
        <f>AVERAGE(E50:P50)</f>
        <v>0</v>
      </c>
      <c r="E50" s="13">
        <f>_Q7</f>
        <v>0</v>
      </c>
      <c r="F50" s="13">
        <f>_Q15</f>
        <v>0</v>
      </c>
      <c r="G50" s="13">
        <f>_Q27</f>
        <v>0</v>
      </c>
      <c r="H50" s="13">
        <f>_Q39</f>
        <v>0</v>
      </c>
      <c r="I50" s="13">
        <f>_Q60</f>
        <v>0</v>
      </c>
      <c r="J50" s="13">
        <f>_Q71</f>
        <v>0</v>
      </c>
      <c r="K50" s="13">
        <f>_Q82</f>
        <v>0</v>
      </c>
      <c r="L50" s="13">
        <f>_Q94</f>
        <v>0</v>
      </c>
      <c r="M50" s="13">
        <f>_Q166</f>
        <v>0</v>
      </c>
      <c r="N50" s="13">
        <f>_Q169</f>
        <v>0</v>
      </c>
      <c r="O50" s="13">
        <f>_Q181</f>
        <v>0</v>
      </c>
      <c r="P50" s="13">
        <f>_Q183</f>
        <v>0</v>
      </c>
    </row>
    <row r="51" spans="1:18" x14ac:dyDescent="0.15">
      <c r="A51" s="21">
        <f>IF(D51&gt;=1,1,0)</f>
        <v>0</v>
      </c>
      <c r="B51" s="30"/>
      <c r="C51" s="23"/>
      <c r="D51" s="19">
        <f>SUM(E52:Q52)/R51</f>
        <v>0</v>
      </c>
      <c r="E51" s="20">
        <v>2</v>
      </c>
      <c r="F51" s="20">
        <v>1</v>
      </c>
      <c r="G51" s="20">
        <v>1</v>
      </c>
      <c r="H51" s="20">
        <v>1</v>
      </c>
      <c r="I51" s="20">
        <v>1</v>
      </c>
      <c r="J51" s="20">
        <v>1</v>
      </c>
      <c r="K51" s="20">
        <v>1</v>
      </c>
      <c r="L51" s="20">
        <v>1</v>
      </c>
      <c r="M51" s="20">
        <v>1</v>
      </c>
      <c r="N51" s="20">
        <v>1</v>
      </c>
      <c r="O51" s="20">
        <v>1</v>
      </c>
      <c r="P51" s="20">
        <v>1</v>
      </c>
      <c r="R51" s="15">
        <v>4</v>
      </c>
    </row>
    <row r="52" spans="1:18" x14ac:dyDescent="0.15">
      <c r="B52" s="30"/>
      <c r="C52" s="23"/>
      <c r="D52" s="49">
        <f>AVERAGE(E52:P52)*100</f>
        <v>0</v>
      </c>
      <c r="E52" s="21">
        <f>IF(E50&lt;E51,0,1)</f>
        <v>0</v>
      </c>
      <c r="F52" s="21">
        <f t="shared" ref="F52:P52" si="9">IF(F50&lt;F51,0,1)</f>
        <v>0</v>
      </c>
      <c r="G52" s="21">
        <f t="shared" si="9"/>
        <v>0</v>
      </c>
      <c r="H52" s="21">
        <f t="shared" si="9"/>
        <v>0</v>
      </c>
      <c r="I52" s="21">
        <f t="shared" si="9"/>
        <v>0</v>
      </c>
      <c r="J52" s="21">
        <f t="shared" si="9"/>
        <v>0</v>
      </c>
      <c r="K52" s="21">
        <f t="shared" si="9"/>
        <v>0</v>
      </c>
      <c r="L52" s="21">
        <f t="shared" si="9"/>
        <v>0</v>
      </c>
      <c r="M52" s="21">
        <f t="shared" si="9"/>
        <v>0</v>
      </c>
      <c r="N52" s="21">
        <f t="shared" si="9"/>
        <v>0</v>
      </c>
      <c r="O52" s="21">
        <f t="shared" si="9"/>
        <v>0</v>
      </c>
      <c r="P52" s="21">
        <f t="shared" si="9"/>
        <v>0</v>
      </c>
    </row>
    <row r="53" spans="1:18" x14ac:dyDescent="0.15">
      <c r="B53" s="30"/>
      <c r="C53" s="23"/>
    </row>
    <row r="54" spans="1:18" x14ac:dyDescent="0.15">
      <c r="B54" s="30"/>
      <c r="C54" s="23" t="s">
        <v>134</v>
      </c>
      <c r="D54" s="18">
        <f>AVERAGE(E54:P54)</f>
        <v>0</v>
      </c>
      <c r="E54" s="13">
        <f>_Q16</f>
        <v>0</v>
      </c>
      <c r="F54" s="13">
        <f>_Q77</f>
        <v>0</v>
      </c>
      <c r="G54" s="13">
        <f>_Q95</f>
        <v>0</v>
      </c>
      <c r="H54" s="13">
        <f>_Q106</f>
        <v>0</v>
      </c>
      <c r="I54" s="13">
        <f>_Q116</f>
        <v>0</v>
      </c>
      <c r="J54" s="13">
        <f>_Q127</f>
        <v>0</v>
      </c>
      <c r="K54" s="13">
        <f>_Q139</f>
        <v>0</v>
      </c>
      <c r="L54" s="13">
        <f>_Q147</f>
        <v>0</v>
      </c>
      <c r="M54" s="13">
        <f>_Q157</f>
        <v>0</v>
      </c>
      <c r="N54" s="13">
        <f>_Q177</f>
        <v>0</v>
      </c>
      <c r="O54" s="13">
        <f>_Q184</f>
        <v>0</v>
      </c>
      <c r="P54" s="13">
        <f>_Q194</f>
        <v>0</v>
      </c>
    </row>
    <row r="55" spans="1:18" x14ac:dyDescent="0.15">
      <c r="A55" s="21">
        <f>IF(D55&gt;=1,1,0)</f>
        <v>0</v>
      </c>
      <c r="B55" s="30"/>
      <c r="C55" s="23"/>
      <c r="D55" s="19">
        <f>SUM(E56:Q56)/R55</f>
        <v>0</v>
      </c>
      <c r="E55" s="20">
        <v>4</v>
      </c>
      <c r="F55" s="20">
        <v>2</v>
      </c>
      <c r="G55" s="20">
        <v>1</v>
      </c>
      <c r="H55" s="20">
        <v>1</v>
      </c>
      <c r="I55" s="20">
        <v>2</v>
      </c>
      <c r="J55" s="20">
        <v>4</v>
      </c>
      <c r="K55" s="20">
        <v>1</v>
      </c>
      <c r="L55" s="20">
        <v>1</v>
      </c>
      <c r="M55" s="20">
        <v>3</v>
      </c>
      <c r="N55" s="20">
        <v>2</v>
      </c>
      <c r="O55" s="20">
        <v>1</v>
      </c>
      <c r="P55" s="20">
        <v>3</v>
      </c>
      <c r="R55" s="15">
        <v>5</v>
      </c>
    </row>
    <row r="56" spans="1:18" x14ac:dyDescent="0.15">
      <c r="B56" s="31">
        <f>SUM(A33:A56)</f>
        <v>0</v>
      </c>
      <c r="C56" s="23" t="s">
        <v>354</v>
      </c>
      <c r="D56" s="49">
        <f>AVERAGE(E56:P56)*100</f>
        <v>0</v>
      </c>
      <c r="E56" s="21">
        <f>IF(E54&lt;E55,0,1)</f>
        <v>0</v>
      </c>
      <c r="F56" s="21">
        <f t="shared" ref="F56:P56" si="10">IF(F54&lt;F55,0,1)</f>
        <v>0</v>
      </c>
      <c r="G56" s="21">
        <f t="shared" si="10"/>
        <v>0</v>
      </c>
      <c r="H56" s="21">
        <f t="shared" si="10"/>
        <v>0</v>
      </c>
      <c r="I56" s="21">
        <f t="shared" si="10"/>
        <v>0</v>
      </c>
      <c r="J56" s="21">
        <f t="shared" si="10"/>
        <v>0</v>
      </c>
      <c r="K56" s="21">
        <f t="shared" si="10"/>
        <v>0</v>
      </c>
      <c r="L56" s="21">
        <f t="shared" si="10"/>
        <v>0</v>
      </c>
      <c r="M56" s="21">
        <f t="shared" si="10"/>
        <v>0</v>
      </c>
      <c r="N56" s="21">
        <f t="shared" si="10"/>
        <v>0</v>
      </c>
      <c r="O56" s="21">
        <f t="shared" si="10"/>
        <v>0</v>
      </c>
      <c r="P56" s="21">
        <f t="shared" si="10"/>
        <v>0</v>
      </c>
    </row>
    <row r="57" spans="1:18" x14ac:dyDescent="0.15">
      <c r="B57" s="517"/>
      <c r="C57" s="518"/>
    </row>
    <row r="58" spans="1:18" x14ac:dyDescent="0.15">
      <c r="B58" s="517"/>
      <c r="C58" s="518" t="s">
        <v>299</v>
      </c>
      <c r="D58" s="18">
        <f>AVERAGE(E58:P58)</f>
        <v>0</v>
      </c>
      <c r="E58" s="13">
        <f>_Q158</f>
        <v>0</v>
      </c>
      <c r="F58" s="13">
        <f>_Q146</f>
        <v>0</v>
      </c>
      <c r="G58" s="13">
        <f>_Q41</f>
        <v>0</v>
      </c>
      <c r="H58" s="13">
        <f>_Q210</f>
        <v>0</v>
      </c>
      <c r="I58" s="13">
        <f>_Q190</f>
        <v>0</v>
      </c>
      <c r="J58" s="13">
        <f>_Q17</f>
        <v>0</v>
      </c>
      <c r="K58" s="13">
        <f>_Q49</f>
        <v>0</v>
      </c>
      <c r="L58" s="13">
        <f>_Q89</f>
        <v>0</v>
      </c>
      <c r="M58" s="13">
        <f>_Q57</f>
        <v>0</v>
      </c>
      <c r="N58" s="13">
        <f>_Q148</f>
        <v>0</v>
      </c>
      <c r="O58" s="13">
        <f>_Q193</f>
        <v>0</v>
      </c>
      <c r="P58" s="13">
        <f>_Q165</f>
        <v>0</v>
      </c>
    </row>
    <row r="59" spans="1:18" x14ac:dyDescent="0.15">
      <c r="A59" s="418">
        <f>IF(D59&gt;=1,1,0)</f>
        <v>0</v>
      </c>
      <c r="B59" s="517"/>
      <c r="C59" s="518"/>
      <c r="D59" s="19">
        <f>SUM(E60:Q60)/R59</f>
        <v>0</v>
      </c>
      <c r="E59" s="20">
        <v>4</v>
      </c>
      <c r="F59" s="20">
        <v>3</v>
      </c>
      <c r="G59" s="20">
        <v>3</v>
      </c>
      <c r="H59" s="20">
        <v>5</v>
      </c>
      <c r="I59" s="20">
        <v>3</v>
      </c>
      <c r="J59" s="20">
        <v>3</v>
      </c>
      <c r="K59" s="20">
        <v>3</v>
      </c>
      <c r="L59" s="20">
        <v>3</v>
      </c>
      <c r="M59" s="20">
        <v>3</v>
      </c>
      <c r="N59" s="20">
        <v>3</v>
      </c>
      <c r="O59" s="20">
        <v>3</v>
      </c>
      <c r="P59" s="20">
        <v>4</v>
      </c>
      <c r="R59" s="15">
        <v>6</v>
      </c>
    </row>
    <row r="60" spans="1:18" x14ac:dyDescent="0.15">
      <c r="A60" s="418"/>
      <c r="B60" s="517"/>
      <c r="C60" s="518"/>
      <c r="D60" s="49">
        <f>AVERAGE(E60:P60)*100</f>
        <v>0</v>
      </c>
      <c r="E60" s="21">
        <f t="shared" ref="E60:P60" si="11">IF(E58&lt;E59,0,1)</f>
        <v>0</v>
      </c>
      <c r="F60" s="21">
        <f t="shared" si="11"/>
        <v>0</v>
      </c>
      <c r="G60" s="21">
        <f t="shared" si="11"/>
        <v>0</v>
      </c>
      <c r="H60" s="21">
        <f t="shared" si="11"/>
        <v>0</v>
      </c>
      <c r="I60" s="21">
        <f t="shared" si="11"/>
        <v>0</v>
      </c>
      <c r="J60" s="21">
        <f t="shared" si="11"/>
        <v>0</v>
      </c>
      <c r="K60" s="21">
        <f t="shared" si="11"/>
        <v>0</v>
      </c>
      <c r="L60" s="21">
        <f t="shared" si="11"/>
        <v>0</v>
      </c>
      <c r="M60" s="21">
        <f t="shared" si="11"/>
        <v>0</v>
      </c>
      <c r="N60" s="21">
        <f t="shared" si="11"/>
        <v>0</v>
      </c>
      <c r="O60" s="21">
        <f t="shared" si="11"/>
        <v>0</v>
      </c>
      <c r="P60" s="21">
        <f t="shared" si="11"/>
        <v>0</v>
      </c>
    </row>
    <row r="61" spans="1:18" x14ac:dyDescent="0.15">
      <c r="A61" s="418"/>
      <c r="B61" s="517"/>
      <c r="C61" s="518"/>
    </row>
    <row r="62" spans="1:18" x14ac:dyDescent="0.15">
      <c r="A62" s="418"/>
      <c r="B62" s="517"/>
      <c r="C62" s="518" t="s">
        <v>306</v>
      </c>
      <c r="D62" s="18">
        <f>AVERAGE(E62:P62)</f>
        <v>0</v>
      </c>
      <c r="E62" s="13">
        <f>_Q118</f>
        <v>0</v>
      </c>
      <c r="F62" s="13">
        <f>_Q6</f>
        <v>0</v>
      </c>
      <c r="G62" s="13">
        <f>_Q159</f>
        <v>0</v>
      </c>
      <c r="H62" s="13">
        <f>_Q84</f>
        <v>0</v>
      </c>
      <c r="I62" s="13">
        <f>_Q171</f>
        <v>0</v>
      </c>
      <c r="J62" s="13">
        <f>_Q30</f>
        <v>0</v>
      </c>
      <c r="K62" s="13">
        <f>_Q140</f>
        <v>0</v>
      </c>
      <c r="L62" s="13">
        <f>_Q97</f>
        <v>0</v>
      </c>
      <c r="M62" s="13">
        <f>_Q42</f>
        <v>0</v>
      </c>
      <c r="N62" s="13">
        <f>_Q216</f>
        <v>0</v>
      </c>
      <c r="O62" s="13">
        <f>_Q207</f>
        <v>0</v>
      </c>
      <c r="P62" s="13">
        <f>_Q199</f>
        <v>0</v>
      </c>
    </row>
    <row r="63" spans="1:18" x14ac:dyDescent="0.15">
      <c r="A63" s="418">
        <f>IF(D63&gt;=1,1,0)</f>
        <v>0</v>
      </c>
      <c r="B63" s="517"/>
      <c r="C63" s="518"/>
      <c r="D63" s="19">
        <f>SUM(E64:Q64)/R63</f>
        <v>0</v>
      </c>
      <c r="E63" s="20">
        <v>1</v>
      </c>
      <c r="F63" s="20">
        <v>2</v>
      </c>
      <c r="G63" s="20">
        <v>2</v>
      </c>
      <c r="H63" s="20">
        <v>2</v>
      </c>
      <c r="I63" s="20">
        <v>2</v>
      </c>
      <c r="J63" s="20">
        <v>2</v>
      </c>
      <c r="K63" s="20">
        <v>2</v>
      </c>
      <c r="L63" s="20">
        <v>2</v>
      </c>
      <c r="M63" s="20">
        <v>1</v>
      </c>
      <c r="N63" s="20">
        <v>2</v>
      </c>
      <c r="O63" s="20">
        <v>2</v>
      </c>
      <c r="P63" s="20">
        <v>1</v>
      </c>
      <c r="R63" s="15">
        <v>6</v>
      </c>
    </row>
    <row r="64" spans="1:18" x14ac:dyDescent="0.15">
      <c r="A64" s="418"/>
      <c r="B64" s="517"/>
      <c r="C64" s="518"/>
      <c r="D64" s="49">
        <f>AVERAGE(E64:P64)*100</f>
        <v>0</v>
      </c>
      <c r="E64" s="21">
        <f t="shared" ref="E64:P64" si="12">IF(E62&lt;E63,0,1)</f>
        <v>0</v>
      </c>
      <c r="F64" s="21">
        <f t="shared" si="12"/>
        <v>0</v>
      </c>
      <c r="G64" s="21">
        <f t="shared" si="12"/>
        <v>0</v>
      </c>
      <c r="H64" s="21">
        <f t="shared" si="12"/>
        <v>0</v>
      </c>
      <c r="I64" s="21">
        <f t="shared" si="12"/>
        <v>0</v>
      </c>
      <c r="J64" s="21">
        <f t="shared" si="12"/>
        <v>0</v>
      </c>
      <c r="K64" s="21">
        <f t="shared" si="12"/>
        <v>0</v>
      </c>
      <c r="L64" s="21">
        <f t="shared" si="12"/>
        <v>0</v>
      </c>
      <c r="M64" s="21">
        <f t="shared" si="12"/>
        <v>0</v>
      </c>
      <c r="N64" s="21">
        <f t="shared" si="12"/>
        <v>0</v>
      </c>
      <c r="O64" s="21">
        <f t="shared" si="12"/>
        <v>0</v>
      </c>
      <c r="P64" s="21">
        <f t="shared" si="12"/>
        <v>0</v>
      </c>
    </row>
    <row r="65" spans="1:18" x14ac:dyDescent="0.15">
      <c r="A65" s="418"/>
      <c r="B65" s="517"/>
      <c r="C65" s="518"/>
    </row>
    <row r="66" spans="1:18" x14ac:dyDescent="0.15">
      <c r="A66" s="418"/>
      <c r="B66" s="517"/>
      <c r="C66" s="518" t="s">
        <v>37</v>
      </c>
      <c r="D66" s="18">
        <f>AVERAGE(E66:P66)</f>
        <v>0</v>
      </c>
      <c r="E66" s="13">
        <f>_Q209</f>
        <v>0</v>
      </c>
      <c r="F66" s="13">
        <f>_Q99</f>
        <v>0</v>
      </c>
      <c r="G66" s="13">
        <f>_Q117</f>
        <v>0</v>
      </c>
      <c r="H66" s="13">
        <f>_Q161</f>
        <v>0</v>
      </c>
      <c r="I66" s="13">
        <f>_Q215</f>
        <v>0</v>
      </c>
      <c r="J66" s="13">
        <f>_Q34</f>
        <v>0</v>
      </c>
      <c r="K66" s="13">
        <f>_Q112</f>
        <v>0</v>
      </c>
      <c r="L66" s="13">
        <f>_Q9</f>
        <v>0</v>
      </c>
      <c r="M66" s="13">
        <f>_Q185</f>
        <v>0</v>
      </c>
      <c r="N66" s="13">
        <f>_Q151</f>
        <v>0</v>
      </c>
      <c r="O66" s="13">
        <f>_Q101</f>
        <v>0</v>
      </c>
      <c r="P66" s="13">
        <f>_Q32</f>
        <v>0</v>
      </c>
    </row>
    <row r="67" spans="1:18" x14ac:dyDescent="0.15">
      <c r="A67" s="418">
        <f>IF(D67&gt;=1,1,0)</f>
        <v>0</v>
      </c>
      <c r="B67" s="517"/>
      <c r="C67" s="518"/>
      <c r="D67" s="19">
        <f>SUM(E68:Q68)/R67</f>
        <v>0</v>
      </c>
      <c r="E67" s="20">
        <v>3</v>
      </c>
      <c r="F67" s="20">
        <v>2</v>
      </c>
      <c r="G67" s="20">
        <v>1</v>
      </c>
      <c r="H67" s="20">
        <v>1</v>
      </c>
      <c r="I67" s="20">
        <v>2</v>
      </c>
      <c r="J67" s="20">
        <v>2</v>
      </c>
      <c r="K67" s="20">
        <v>2</v>
      </c>
      <c r="L67" s="20">
        <v>3</v>
      </c>
      <c r="M67" s="20">
        <v>3</v>
      </c>
      <c r="N67" s="20">
        <v>3</v>
      </c>
      <c r="O67" s="20">
        <v>3</v>
      </c>
      <c r="P67" s="20">
        <v>4</v>
      </c>
      <c r="R67" s="15">
        <v>6</v>
      </c>
    </row>
    <row r="68" spans="1:18" x14ac:dyDescent="0.15">
      <c r="A68" s="418"/>
      <c r="B68" s="517"/>
      <c r="C68" s="518"/>
      <c r="D68" s="49">
        <f>AVERAGE(E68:P68)*100</f>
        <v>0</v>
      </c>
      <c r="E68" s="21">
        <f t="shared" ref="E68:P68" si="13">IF(E66&lt;E67,0,1)</f>
        <v>0</v>
      </c>
      <c r="F68" s="21">
        <f t="shared" si="13"/>
        <v>0</v>
      </c>
      <c r="G68" s="21">
        <f t="shared" si="13"/>
        <v>0</v>
      </c>
      <c r="H68" s="21">
        <f t="shared" si="13"/>
        <v>0</v>
      </c>
      <c r="I68" s="21">
        <f t="shared" si="13"/>
        <v>0</v>
      </c>
      <c r="J68" s="21">
        <f t="shared" si="13"/>
        <v>0</v>
      </c>
      <c r="K68" s="21">
        <f t="shared" si="13"/>
        <v>0</v>
      </c>
      <c r="L68" s="21">
        <f t="shared" si="13"/>
        <v>0</v>
      </c>
      <c r="M68" s="21">
        <f t="shared" si="13"/>
        <v>0</v>
      </c>
      <c r="N68" s="21">
        <f t="shared" si="13"/>
        <v>0</v>
      </c>
      <c r="O68" s="21">
        <f t="shared" si="13"/>
        <v>0</v>
      </c>
      <c r="P68" s="21">
        <f t="shared" si="13"/>
        <v>0</v>
      </c>
    </row>
    <row r="69" spans="1:18" x14ac:dyDescent="0.15">
      <c r="A69" s="418"/>
      <c r="B69" s="517"/>
      <c r="C69" s="518"/>
    </row>
    <row r="70" spans="1:18" x14ac:dyDescent="0.15">
      <c r="A70" s="418"/>
      <c r="B70" s="517"/>
      <c r="C70" s="526" t="s">
        <v>704</v>
      </c>
      <c r="D70" s="18">
        <f>AVERAGE(E70:P70)</f>
        <v>0</v>
      </c>
      <c r="E70" s="13">
        <f>_Q4</f>
        <v>0</v>
      </c>
      <c r="F70" s="13">
        <f>_Q72</f>
        <v>0</v>
      </c>
      <c r="G70" s="13">
        <f>_Q83</f>
        <v>0</v>
      </c>
      <c r="H70" s="13">
        <f>_Q107</f>
        <v>0</v>
      </c>
      <c r="I70" s="13">
        <f>_Q150</f>
        <v>0</v>
      </c>
      <c r="J70" s="13">
        <f>_Q180</f>
        <v>0</v>
      </c>
      <c r="K70" s="13">
        <f>_Q188</f>
        <v>0</v>
      </c>
      <c r="L70" s="13">
        <f>_Q191</f>
        <v>0</v>
      </c>
      <c r="M70" s="13">
        <f>_Q197</f>
        <v>0</v>
      </c>
      <c r="N70" s="13">
        <f>_Q200</f>
        <v>0</v>
      </c>
      <c r="O70" s="13">
        <f>_Q201</f>
        <v>0</v>
      </c>
      <c r="P70" s="13">
        <f>_Q203</f>
        <v>0</v>
      </c>
    </row>
    <row r="71" spans="1:18" x14ac:dyDescent="0.15">
      <c r="A71" s="418">
        <f>IF(D71&gt;=1,1,0)</f>
        <v>0</v>
      </c>
      <c r="B71" s="517"/>
      <c r="C71" s="518"/>
      <c r="D71" s="19">
        <f>SUM(E72:Q72)/R71</f>
        <v>0</v>
      </c>
      <c r="E71" s="20">
        <v>3</v>
      </c>
      <c r="F71" s="20">
        <v>2</v>
      </c>
      <c r="G71" s="20">
        <v>3</v>
      </c>
      <c r="H71" s="20">
        <v>2</v>
      </c>
      <c r="I71" s="20">
        <v>1</v>
      </c>
      <c r="J71" s="20">
        <v>2</v>
      </c>
      <c r="K71" s="20">
        <v>2</v>
      </c>
      <c r="L71" s="20">
        <v>1</v>
      </c>
      <c r="M71" s="20">
        <v>1</v>
      </c>
      <c r="N71" s="20">
        <v>2</v>
      </c>
      <c r="O71" s="20">
        <v>1</v>
      </c>
      <c r="P71" s="20">
        <v>1</v>
      </c>
      <c r="R71" s="15">
        <v>4</v>
      </c>
    </row>
    <row r="72" spans="1:18" x14ac:dyDescent="0.15">
      <c r="A72" s="418"/>
      <c r="B72" s="517"/>
      <c r="C72" s="518"/>
      <c r="D72" s="49">
        <f>AVERAGE(E72:P72)*100</f>
        <v>0</v>
      </c>
      <c r="E72" s="21">
        <f>IF(E70&lt;E71,0,1)</f>
        <v>0</v>
      </c>
      <c r="F72" s="21">
        <f t="shared" ref="F72:P72" si="14">IF(F70&lt;F71,0,1)</f>
        <v>0</v>
      </c>
      <c r="G72" s="21">
        <f t="shared" si="14"/>
        <v>0</v>
      </c>
      <c r="H72" s="21">
        <f t="shared" si="14"/>
        <v>0</v>
      </c>
      <c r="I72" s="21">
        <f t="shared" si="14"/>
        <v>0</v>
      </c>
      <c r="J72" s="21">
        <f t="shared" si="14"/>
        <v>0</v>
      </c>
      <c r="K72" s="21">
        <f t="shared" si="14"/>
        <v>0</v>
      </c>
      <c r="L72" s="21">
        <f t="shared" si="14"/>
        <v>0</v>
      </c>
      <c r="M72" s="21">
        <f t="shared" si="14"/>
        <v>0</v>
      </c>
      <c r="N72" s="21">
        <f t="shared" si="14"/>
        <v>0</v>
      </c>
      <c r="O72" s="21">
        <f t="shared" si="14"/>
        <v>0</v>
      </c>
      <c r="P72" s="21">
        <f t="shared" si="14"/>
        <v>0</v>
      </c>
    </row>
    <row r="73" spans="1:18" x14ac:dyDescent="0.15">
      <c r="A73" s="418"/>
      <c r="B73" s="517"/>
      <c r="C73" s="518"/>
    </row>
    <row r="74" spans="1:18" x14ac:dyDescent="0.15">
      <c r="A74" s="418"/>
      <c r="B74" s="517"/>
      <c r="C74" s="518" t="s">
        <v>307</v>
      </c>
      <c r="D74" s="18">
        <f>AVERAGE(E74:P74)</f>
        <v>0</v>
      </c>
      <c r="E74" s="13">
        <f>_Q212</f>
        <v>0</v>
      </c>
      <c r="F74" s="13">
        <f>_Q138</f>
        <v>0</v>
      </c>
      <c r="G74" s="13">
        <f>_Q202</f>
        <v>0</v>
      </c>
      <c r="H74" s="13">
        <f>_Q149</f>
        <v>0</v>
      </c>
      <c r="I74" s="13">
        <f>_Q18</f>
        <v>0</v>
      </c>
      <c r="J74" s="13">
        <f>_Q174</f>
        <v>0</v>
      </c>
      <c r="K74" s="13">
        <f>_Q61</f>
        <v>0</v>
      </c>
      <c r="L74" s="13">
        <f>_Q218</f>
        <v>0</v>
      </c>
      <c r="M74" s="13">
        <f>_Q214</f>
        <v>0</v>
      </c>
      <c r="N74" s="13">
        <f>_Q208</f>
        <v>0</v>
      </c>
      <c r="O74" s="13">
        <f>_Q28</f>
        <v>0</v>
      </c>
      <c r="P74" s="13">
        <f>_Q8</f>
        <v>0</v>
      </c>
    </row>
    <row r="75" spans="1:18" x14ac:dyDescent="0.15">
      <c r="A75" s="418">
        <f>IF(D75&gt;=1,1,0)</f>
        <v>0</v>
      </c>
      <c r="B75" s="517"/>
      <c r="C75" s="518"/>
      <c r="D75" s="19">
        <f>SUM(E76:Q76)/R75</f>
        <v>0</v>
      </c>
      <c r="E75" s="20">
        <v>3</v>
      </c>
      <c r="F75" s="20">
        <v>2</v>
      </c>
      <c r="G75" s="20">
        <v>2</v>
      </c>
      <c r="H75" s="20">
        <v>2</v>
      </c>
      <c r="I75" s="20">
        <v>2</v>
      </c>
      <c r="J75" s="20">
        <v>2</v>
      </c>
      <c r="K75" s="20">
        <v>2</v>
      </c>
      <c r="L75" s="20">
        <v>3</v>
      </c>
      <c r="M75" s="20">
        <v>3</v>
      </c>
      <c r="N75" s="20">
        <v>3</v>
      </c>
      <c r="O75" s="20">
        <v>3</v>
      </c>
      <c r="P75" s="20">
        <v>2</v>
      </c>
      <c r="R75" s="15">
        <v>3</v>
      </c>
    </row>
    <row r="76" spans="1:18" x14ac:dyDescent="0.15">
      <c r="A76" s="418"/>
      <c r="B76" s="517"/>
      <c r="C76" s="518"/>
      <c r="D76" s="49">
        <f>AVERAGE(E76:P76)*100</f>
        <v>0</v>
      </c>
      <c r="E76" s="21">
        <f t="shared" ref="E76:P76" si="15">IF(E74&lt;E75,0,1)</f>
        <v>0</v>
      </c>
      <c r="F76" s="21">
        <f t="shared" si="15"/>
        <v>0</v>
      </c>
      <c r="G76" s="21">
        <f t="shared" si="15"/>
        <v>0</v>
      </c>
      <c r="H76" s="21">
        <f t="shared" si="15"/>
        <v>0</v>
      </c>
      <c r="I76" s="21">
        <f t="shared" si="15"/>
        <v>0</v>
      </c>
      <c r="J76" s="21">
        <f t="shared" si="15"/>
        <v>0</v>
      </c>
      <c r="K76" s="21">
        <f t="shared" si="15"/>
        <v>0</v>
      </c>
      <c r="L76" s="21">
        <f t="shared" si="15"/>
        <v>0</v>
      </c>
      <c r="M76" s="21">
        <f t="shared" si="15"/>
        <v>0</v>
      </c>
      <c r="N76" s="21">
        <f t="shared" si="15"/>
        <v>0</v>
      </c>
      <c r="O76" s="21">
        <f t="shared" si="15"/>
        <v>0</v>
      </c>
      <c r="P76" s="21">
        <f t="shared" si="15"/>
        <v>0</v>
      </c>
    </row>
    <row r="77" spans="1:18" x14ac:dyDescent="0.15">
      <c r="A77" s="418"/>
      <c r="B77" s="517"/>
      <c r="C77" s="518"/>
    </row>
    <row r="78" spans="1:18" x14ac:dyDescent="0.15">
      <c r="A78" s="418"/>
      <c r="B78" s="517"/>
      <c r="C78" s="526" t="s">
        <v>731</v>
      </c>
      <c r="D78" s="18">
        <f>AVERAGE(E78:P78)</f>
        <v>0</v>
      </c>
      <c r="E78" s="13">
        <f>_Q204</f>
        <v>0</v>
      </c>
      <c r="F78" s="13">
        <f>_Q64</f>
        <v>0</v>
      </c>
      <c r="G78" s="13">
        <f>_Q160</f>
        <v>0</v>
      </c>
      <c r="H78" s="13">
        <f>_Q74</f>
        <v>0</v>
      </c>
      <c r="I78" s="13">
        <f>_Q1</f>
        <v>0</v>
      </c>
      <c r="J78" s="13">
        <f>_Q173</f>
        <v>0</v>
      </c>
      <c r="K78" s="13">
        <f>_Q50</f>
        <v>0</v>
      </c>
      <c r="L78" s="13">
        <f>_Q119</f>
        <v>0</v>
      </c>
      <c r="M78" s="13">
        <f>_Q179</f>
        <v>0</v>
      </c>
      <c r="N78" s="13">
        <f>_Q85</f>
        <v>0</v>
      </c>
      <c r="O78" s="13">
        <f>_Q31</f>
        <v>0</v>
      </c>
      <c r="P78" s="13">
        <f>_Q23</f>
        <v>0</v>
      </c>
    </row>
    <row r="79" spans="1:18" x14ac:dyDescent="0.15">
      <c r="A79" s="418">
        <f>IF(D79&gt;=1,1,0)</f>
        <v>0</v>
      </c>
      <c r="B79" s="517"/>
      <c r="C79" s="518"/>
      <c r="D79" s="19">
        <f>SUM(E80:Q80)/R79</f>
        <v>0</v>
      </c>
      <c r="E79" s="20">
        <v>1</v>
      </c>
      <c r="F79" s="20">
        <v>2</v>
      </c>
      <c r="G79" s="20">
        <v>1</v>
      </c>
      <c r="H79" s="20">
        <v>2</v>
      </c>
      <c r="I79" s="20">
        <v>2</v>
      </c>
      <c r="J79" s="20">
        <v>1</v>
      </c>
      <c r="K79" s="20">
        <v>2</v>
      </c>
      <c r="L79" s="20">
        <v>2</v>
      </c>
      <c r="M79" s="20">
        <v>1</v>
      </c>
      <c r="N79" s="20">
        <v>3</v>
      </c>
      <c r="O79" s="20">
        <v>3</v>
      </c>
      <c r="P79" s="20">
        <v>3</v>
      </c>
      <c r="R79" s="15">
        <v>4</v>
      </c>
    </row>
    <row r="80" spans="1:18" x14ac:dyDescent="0.15">
      <c r="A80" s="418"/>
      <c r="B80" s="517"/>
      <c r="C80" s="518"/>
      <c r="D80" s="49">
        <f>AVERAGE(E80:P80)*100</f>
        <v>0</v>
      </c>
      <c r="E80" s="21">
        <f t="shared" ref="E80:P80" si="16">IF(E78&lt;E79,0,1)</f>
        <v>0</v>
      </c>
      <c r="F80" s="21">
        <f t="shared" si="16"/>
        <v>0</v>
      </c>
      <c r="G80" s="21">
        <f t="shared" si="16"/>
        <v>0</v>
      </c>
      <c r="H80" s="21">
        <f t="shared" si="16"/>
        <v>0</v>
      </c>
      <c r="I80" s="21">
        <f t="shared" si="16"/>
        <v>0</v>
      </c>
      <c r="J80" s="21">
        <f t="shared" si="16"/>
        <v>0</v>
      </c>
      <c r="K80" s="21">
        <f t="shared" si="16"/>
        <v>0</v>
      </c>
      <c r="L80" s="21">
        <f t="shared" si="16"/>
        <v>0</v>
      </c>
      <c r="M80" s="21">
        <f t="shared" si="16"/>
        <v>0</v>
      </c>
      <c r="N80" s="21">
        <f t="shared" si="16"/>
        <v>0</v>
      </c>
      <c r="O80" s="21">
        <f t="shared" si="16"/>
        <v>0</v>
      </c>
      <c r="P80" s="21">
        <f t="shared" si="16"/>
        <v>0</v>
      </c>
    </row>
    <row r="81" spans="1:18" x14ac:dyDescent="0.15">
      <c r="A81" s="418"/>
      <c r="B81" s="517"/>
      <c r="C81" s="518"/>
    </row>
    <row r="82" spans="1:18" x14ac:dyDescent="0.15">
      <c r="A82" s="418"/>
      <c r="B82" s="517"/>
      <c r="C82" s="526" t="s">
        <v>740</v>
      </c>
      <c r="D82" s="18">
        <f>AVERAGE(E82:P82)</f>
        <v>0</v>
      </c>
      <c r="E82" s="13">
        <f>_Q76</f>
        <v>0</v>
      </c>
      <c r="F82" s="13">
        <f>_Q108</f>
        <v>0</v>
      </c>
      <c r="G82" s="13">
        <f>_Q217</f>
        <v>0</v>
      </c>
      <c r="H82" s="13">
        <f>_Q152</f>
        <v>0</v>
      </c>
      <c r="I82" s="13">
        <f>_Q187</f>
        <v>0</v>
      </c>
      <c r="J82" s="13">
        <f>_Q205</f>
        <v>0</v>
      </c>
      <c r="K82" s="13">
        <f>_Q186</f>
        <v>0</v>
      </c>
      <c r="L82" s="13">
        <f>_Q53</f>
        <v>0</v>
      </c>
      <c r="M82" s="13">
        <f>_Q43</f>
        <v>0</v>
      </c>
      <c r="N82" s="13">
        <f>_Q170</f>
        <v>0</v>
      </c>
      <c r="O82" s="13">
        <f>_Q129</f>
        <v>0</v>
      </c>
      <c r="P82" s="13">
        <f>_Q19</f>
        <v>0</v>
      </c>
    </row>
    <row r="83" spans="1:18" x14ac:dyDescent="0.15">
      <c r="A83" s="418">
        <f>IF(D83&gt;=1,1,0)</f>
        <v>0</v>
      </c>
      <c r="B83" s="517"/>
      <c r="C83" s="518"/>
      <c r="D83" s="19">
        <f>SUM(E84:Q84)/R83</f>
        <v>0</v>
      </c>
      <c r="E83" s="20">
        <v>2</v>
      </c>
      <c r="F83" s="20">
        <v>2</v>
      </c>
      <c r="G83" s="20">
        <v>2</v>
      </c>
      <c r="H83" s="20">
        <v>2</v>
      </c>
      <c r="I83" s="20">
        <v>2</v>
      </c>
      <c r="J83" s="20">
        <v>1</v>
      </c>
      <c r="K83" s="20">
        <v>1</v>
      </c>
      <c r="L83" s="20">
        <v>1</v>
      </c>
      <c r="M83" s="20">
        <v>2</v>
      </c>
      <c r="N83" s="20">
        <v>2</v>
      </c>
      <c r="O83" s="20">
        <v>2</v>
      </c>
      <c r="P83" s="20">
        <v>3</v>
      </c>
      <c r="R83" s="15">
        <v>3</v>
      </c>
    </row>
    <row r="84" spans="1:18" x14ac:dyDescent="0.15">
      <c r="B84" s="517"/>
      <c r="C84" s="518"/>
      <c r="D84" s="49">
        <f>AVERAGE(E84:P84)*100</f>
        <v>0</v>
      </c>
      <c r="E84" s="21">
        <f t="shared" ref="E84:P84" si="17">IF(E82&lt;E83,0,1)</f>
        <v>0</v>
      </c>
      <c r="F84" s="21">
        <f t="shared" si="17"/>
        <v>0</v>
      </c>
      <c r="G84" s="21">
        <f t="shared" si="17"/>
        <v>0</v>
      </c>
      <c r="H84" s="21">
        <f t="shared" si="17"/>
        <v>0</v>
      </c>
      <c r="I84" s="21">
        <f t="shared" si="17"/>
        <v>0</v>
      </c>
      <c r="J84" s="21">
        <f t="shared" si="17"/>
        <v>0</v>
      </c>
      <c r="K84" s="21">
        <f t="shared" si="17"/>
        <v>0</v>
      </c>
      <c r="L84" s="21">
        <f t="shared" si="17"/>
        <v>0</v>
      </c>
      <c r="M84" s="21">
        <f t="shared" si="17"/>
        <v>0</v>
      </c>
      <c r="N84" s="21">
        <f t="shared" si="17"/>
        <v>0</v>
      </c>
      <c r="O84" s="21">
        <f t="shared" si="17"/>
        <v>0</v>
      </c>
      <c r="P84" s="21">
        <f t="shared" si="17"/>
        <v>0</v>
      </c>
    </row>
    <row r="85" spans="1:18" x14ac:dyDescent="0.15">
      <c r="B85" s="517"/>
      <c r="C85" s="518"/>
    </row>
    <row r="86" spans="1:18" x14ac:dyDescent="0.15">
      <c r="B86" s="523"/>
      <c r="C86" s="522" t="s">
        <v>308</v>
      </c>
      <c r="D86" s="18">
        <f>AVERAGE(E86:P86)</f>
        <v>0</v>
      </c>
      <c r="E86" s="13">
        <f>_Q198</f>
        <v>0</v>
      </c>
      <c r="F86" s="13">
        <f>_Q46</f>
        <v>0</v>
      </c>
      <c r="G86" s="13">
        <f>_Q162</f>
        <v>0</v>
      </c>
      <c r="H86" s="13">
        <f>_Q189</f>
        <v>0</v>
      </c>
      <c r="I86" s="13">
        <f>_Q86</f>
        <v>0</v>
      </c>
      <c r="J86" s="13">
        <f>_Q56</f>
        <v>0</v>
      </c>
      <c r="K86" s="13">
        <f>_Q131</f>
        <v>0</v>
      </c>
      <c r="L86" s="13">
        <f>_Q195</f>
        <v>0</v>
      </c>
      <c r="M86" s="13">
        <f>_Q20</f>
        <v>0</v>
      </c>
      <c r="N86" s="13">
        <f>_Q196</f>
        <v>0</v>
      </c>
      <c r="O86" s="13">
        <f>_Q120</f>
        <v>0</v>
      </c>
      <c r="P86" s="13">
        <f>_Q22</f>
        <v>0</v>
      </c>
    </row>
    <row r="87" spans="1:18" x14ac:dyDescent="0.15">
      <c r="B87" s="523"/>
      <c r="C87" s="522"/>
      <c r="D87" s="128"/>
      <c r="E87" s="20">
        <v>3</v>
      </c>
      <c r="F87" s="20">
        <v>1</v>
      </c>
      <c r="G87" s="20">
        <v>2</v>
      </c>
      <c r="H87" s="20">
        <v>2</v>
      </c>
      <c r="I87" s="20">
        <v>1</v>
      </c>
      <c r="J87" s="20">
        <v>1</v>
      </c>
      <c r="K87" s="20">
        <v>3</v>
      </c>
      <c r="L87" s="20">
        <v>2</v>
      </c>
      <c r="M87" s="20">
        <v>2</v>
      </c>
      <c r="N87" s="20">
        <v>3</v>
      </c>
      <c r="O87" s="20">
        <v>2</v>
      </c>
      <c r="P87" s="20">
        <v>3</v>
      </c>
      <c r="R87" s="15">
        <v>0</v>
      </c>
    </row>
    <row r="88" spans="1:18" x14ac:dyDescent="0.15">
      <c r="B88" s="523"/>
      <c r="C88" s="522"/>
      <c r="D88" s="49">
        <f>AVERAGE(E88:P88)*100</f>
        <v>0</v>
      </c>
      <c r="E88" s="21">
        <f t="shared" ref="E88:P88" si="18">IF(E86&lt;E87,0,1)</f>
        <v>0</v>
      </c>
      <c r="F88" s="21">
        <f t="shared" si="18"/>
        <v>0</v>
      </c>
      <c r="G88" s="21">
        <f t="shared" si="18"/>
        <v>0</v>
      </c>
      <c r="H88" s="21">
        <f t="shared" si="18"/>
        <v>0</v>
      </c>
      <c r="I88" s="21">
        <f t="shared" si="18"/>
        <v>0</v>
      </c>
      <c r="J88" s="21">
        <f t="shared" si="18"/>
        <v>0</v>
      </c>
      <c r="K88" s="21">
        <f t="shared" si="18"/>
        <v>0</v>
      </c>
      <c r="L88" s="21">
        <f t="shared" si="18"/>
        <v>0</v>
      </c>
      <c r="M88" s="21">
        <f t="shared" si="18"/>
        <v>0</v>
      </c>
      <c r="N88" s="21">
        <f t="shared" si="18"/>
        <v>0</v>
      </c>
      <c r="O88" s="21">
        <f t="shared" si="18"/>
        <v>0</v>
      </c>
      <c r="P88" s="21">
        <f t="shared" si="18"/>
        <v>0</v>
      </c>
    </row>
    <row r="89" spans="1:18" x14ac:dyDescent="0.15">
      <c r="B89" s="523"/>
      <c r="C89" s="522"/>
      <c r="D89" s="524"/>
      <c r="E89" s="522"/>
      <c r="F89" s="522"/>
      <c r="G89" s="522"/>
      <c r="H89" s="522"/>
      <c r="I89" s="522"/>
      <c r="J89" s="522"/>
      <c r="K89" s="522"/>
      <c r="L89" s="522"/>
      <c r="M89" s="522"/>
      <c r="N89" s="522"/>
      <c r="O89" s="522"/>
      <c r="P89" s="522"/>
      <c r="Q89" s="522"/>
      <c r="R89" s="525"/>
    </row>
    <row r="91" spans="1:18" x14ac:dyDescent="0.15">
      <c r="B91" s="30" t="s">
        <v>333</v>
      </c>
      <c r="C91" s="23"/>
      <c r="D91" s="109"/>
      <c r="E91" s="110"/>
      <c r="F91" s="110"/>
      <c r="G91" s="110"/>
      <c r="H91" s="110"/>
      <c r="I91" s="110"/>
      <c r="J91" s="110"/>
      <c r="K91" s="110"/>
      <c r="L91" s="110"/>
      <c r="M91" s="110"/>
      <c r="N91" s="110"/>
      <c r="O91" s="110"/>
      <c r="P91" s="110"/>
      <c r="Q91" s="110"/>
      <c r="R91" s="111"/>
    </row>
    <row r="92" spans="1:18" x14ac:dyDescent="0.15">
      <c r="B92" s="30">
        <v>1</v>
      </c>
      <c r="C92" s="23" t="s">
        <v>334</v>
      </c>
      <c r="D92" s="18">
        <f>AVERAGE(E92:P92)</f>
        <v>0</v>
      </c>
      <c r="E92" s="13">
        <f>_Q30</f>
        <v>0</v>
      </c>
    </row>
    <row r="93" spans="1:18" x14ac:dyDescent="0.15">
      <c r="A93" s="21">
        <f>IF(D93&gt;=1,1,0)</f>
        <v>0</v>
      </c>
      <c r="B93" s="30"/>
      <c r="C93" s="23"/>
      <c r="D93" s="19">
        <f>SUM(E94:Q94)/R93</f>
        <v>0</v>
      </c>
      <c r="E93" s="20">
        <v>1</v>
      </c>
      <c r="R93" s="15">
        <v>1</v>
      </c>
    </row>
    <row r="94" spans="1:18" x14ac:dyDescent="0.15">
      <c r="B94" s="30"/>
      <c r="C94" s="23"/>
      <c r="D94" s="14">
        <f>SUM(E94:P94)</f>
        <v>0</v>
      </c>
      <c r="E94" s="21">
        <f>IF(E92&lt;E93,0,1)</f>
        <v>0</v>
      </c>
    </row>
    <row r="95" spans="1:18" x14ac:dyDescent="0.15">
      <c r="B95" s="30"/>
      <c r="C95" s="23"/>
    </row>
    <row r="96" spans="1:18" x14ac:dyDescent="0.15">
      <c r="B96" s="30">
        <v>2</v>
      </c>
      <c r="C96" s="23" t="s">
        <v>335</v>
      </c>
      <c r="D96" s="18">
        <f>AVERAGE(E96:P96)</f>
        <v>0</v>
      </c>
      <c r="E96" s="13">
        <f>_Q171</f>
        <v>0</v>
      </c>
      <c r="F96" s="13">
        <f>_Q140</f>
        <v>0</v>
      </c>
      <c r="G96" s="13">
        <f>_Q97</f>
        <v>0</v>
      </c>
      <c r="H96" s="13">
        <f>_Q42</f>
        <v>0</v>
      </c>
      <c r="I96" s="13">
        <f>_Q207</f>
        <v>0</v>
      </c>
      <c r="J96" s="13">
        <f>_Q199</f>
        <v>0</v>
      </c>
    </row>
    <row r="97" spans="1:18" x14ac:dyDescent="0.15">
      <c r="A97" s="21">
        <f>IF(D97&gt;=1,1,0)</f>
        <v>0</v>
      </c>
      <c r="B97" s="30"/>
      <c r="C97" s="23"/>
      <c r="D97" s="19">
        <f>SUM(E98:P98)/R97</f>
        <v>0</v>
      </c>
      <c r="E97" s="20">
        <v>2</v>
      </c>
      <c r="F97" s="20">
        <v>2</v>
      </c>
      <c r="G97" s="20">
        <v>2</v>
      </c>
      <c r="H97" s="20">
        <v>1</v>
      </c>
      <c r="I97" s="20">
        <v>2</v>
      </c>
      <c r="J97" s="20">
        <v>1</v>
      </c>
      <c r="R97" s="15">
        <v>2</v>
      </c>
    </row>
    <row r="98" spans="1:18" x14ac:dyDescent="0.15">
      <c r="B98" s="30"/>
      <c r="C98" s="23"/>
      <c r="D98" s="14">
        <f>SUM(E98:P98)</f>
        <v>0</v>
      </c>
      <c r="E98" s="21">
        <f t="shared" ref="E98:J98" si="19">IF(E96&lt;E97,0,1)</f>
        <v>0</v>
      </c>
      <c r="F98" s="21">
        <f t="shared" si="19"/>
        <v>0</v>
      </c>
      <c r="G98" s="21">
        <f t="shared" si="19"/>
        <v>0</v>
      </c>
      <c r="H98" s="21">
        <f t="shared" si="19"/>
        <v>0</v>
      </c>
      <c r="I98" s="21">
        <f t="shared" si="19"/>
        <v>0</v>
      </c>
      <c r="J98" s="21">
        <f t="shared" si="19"/>
        <v>0</v>
      </c>
    </row>
    <row r="99" spans="1:18" x14ac:dyDescent="0.15">
      <c r="B99" s="30"/>
      <c r="C99" s="23"/>
    </row>
    <row r="100" spans="1:18" x14ac:dyDescent="0.15">
      <c r="B100" s="30">
        <v>3</v>
      </c>
      <c r="C100" s="169" t="s">
        <v>659</v>
      </c>
      <c r="D100" s="18">
        <f>AVERAGE(E100:P100)</f>
        <v>0</v>
      </c>
      <c r="E100" s="13">
        <f>_Q4</f>
        <v>0</v>
      </c>
      <c r="F100" s="13">
        <f>_Q185</f>
        <v>0</v>
      </c>
      <c r="G100" s="13">
        <f>_Q196</f>
        <v>0</v>
      </c>
      <c r="H100" s="13">
        <f>_Q57</f>
        <v>0</v>
      </c>
      <c r="I100" s="13">
        <f>_Q101</f>
        <v>0</v>
      </c>
      <c r="J100" s="13">
        <f>_Q32</f>
        <v>0</v>
      </c>
    </row>
    <row r="101" spans="1:18" x14ac:dyDescent="0.15">
      <c r="A101" s="21">
        <f>IF(D101&gt;=1,1,0)</f>
        <v>0</v>
      </c>
      <c r="B101" s="30"/>
      <c r="C101" s="23"/>
      <c r="D101" s="19">
        <f>SUM(E102:P102)/R101</f>
        <v>0</v>
      </c>
      <c r="E101" s="20">
        <v>3</v>
      </c>
      <c r="F101" s="20">
        <v>3</v>
      </c>
      <c r="G101" s="20">
        <v>3</v>
      </c>
      <c r="H101" s="20">
        <v>3</v>
      </c>
      <c r="I101" s="20">
        <v>3</v>
      </c>
      <c r="J101" s="20">
        <v>4</v>
      </c>
      <c r="R101" s="15">
        <v>3</v>
      </c>
    </row>
    <row r="102" spans="1:18" x14ac:dyDescent="0.15">
      <c r="B102" s="30"/>
      <c r="C102" s="23"/>
      <c r="D102" s="14">
        <f>SUM(E102:P102)</f>
        <v>0</v>
      </c>
      <c r="E102" s="21">
        <f t="shared" ref="E102:J102" si="20">IF(E100&lt;E101,0,1)</f>
        <v>0</v>
      </c>
      <c r="F102" s="21">
        <f t="shared" si="20"/>
        <v>0</v>
      </c>
      <c r="G102" s="21">
        <f t="shared" si="20"/>
        <v>0</v>
      </c>
      <c r="H102" s="21">
        <f t="shared" si="20"/>
        <v>0</v>
      </c>
      <c r="I102" s="21">
        <f t="shared" si="20"/>
        <v>0</v>
      </c>
      <c r="J102" s="21">
        <f t="shared" si="20"/>
        <v>0</v>
      </c>
    </row>
    <row r="103" spans="1:18" x14ac:dyDescent="0.15">
      <c r="B103" s="30"/>
      <c r="C103" s="23"/>
    </row>
    <row r="104" spans="1:18" x14ac:dyDescent="0.15">
      <c r="B104" s="30">
        <v>4</v>
      </c>
      <c r="C104" s="23" t="s">
        <v>336</v>
      </c>
      <c r="D104" s="18">
        <f>AVERAGE(E104:P104)</f>
        <v>0</v>
      </c>
      <c r="E104" s="13">
        <f>_Q212</f>
        <v>0</v>
      </c>
      <c r="F104" s="13">
        <f>_Q208</f>
        <v>0</v>
      </c>
      <c r="G104" s="13">
        <f>_Q210</f>
        <v>0</v>
      </c>
      <c r="H104" s="13">
        <f>_Q34</f>
        <v>0</v>
      </c>
      <c r="I104" s="13">
        <f>_Q112</f>
        <v>0</v>
      </c>
    </row>
    <row r="105" spans="1:18" x14ac:dyDescent="0.15">
      <c r="A105" s="21">
        <f>IF(D105&gt;=1,1,0)</f>
        <v>0</v>
      </c>
      <c r="B105" s="30"/>
      <c r="C105" s="23"/>
      <c r="D105" s="19">
        <f>SUM(E106:P106)/R105</f>
        <v>0</v>
      </c>
      <c r="E105" s="20">
        <v>3</v>
      </c>
      <c r="F105" s="20">
        <v>3</v>
      </c>
      <c r="G105" s="20">
        <v>5</v>
      </c>
      <c r="H105" s="20">
        <v>2</v>
      </c>
      <c r="I105" s="20">
        <v>2</v>
      </c>
      <c r="R105" s="15">
        <v>3</v>
      </c>
    </row>
    <row r="106" spans="1:18" x14ac:dyDescent="0.15">
      <c r="B106" s="30"/>
      <c r="C106" s="23"/>
      <c r="D106" s="14">
        <f>SUM(E106:P106)</f>
        <v>0</v>
      </c>
      <c r="E106" s="21">
        <f>IF(E104&lt;E105,0,1)</f>
        <v>0</v>
      </c>
      <c r="F106" s="21">
        <f>IF(F104&lt;F105,0,1)</f>
        <v>0</v>
      </c>
      <c r="G106" s="21">
        <f>IF(G104&lt;G105,0,1)</f>
        <v>0</v>
      </c>
      <c r="H106" s="21">
        <f>IF(H104&lt;H105,0,1)</f>
        <v>0</v>
      </c>
      <c r="I106" s="21">
        <f>IF(I104&lt;I105,0,1)</f>
        <v>0</v>
      </c>
      <c r="R106" s="15" t="s">
        <v>342</v>
      </c>
    </row>
    <row r="107" spans="1:18" x14ac:dyDescent="0.15">
      <c r="B107" s="30"/>
      <c r="C107" s="23"/>
    </row>
    <row r="108" spans="1:18" x14ac:dyDescent="0.15">
      <c r="B108" s="30">
        <v>5</v>
      </c>
      <c r="C108" s="23" t="s">
        <v>337</v>
      </c>
      <c r="D108" s="18">
        <f>AVERAGE(E108:P108)</f>
        <v>0</v>
      </c>
      <c r="E108" s="13">
        <f>_Q107</f>
        <v>0</v>
      </c>
      <c r="F108" s="13">
        <f>_Q9</f>
        <v>0</v>
      </c>
      <c r="G108" s="13">
        <f>_Q99</f>
        <v>0</v>
      </c>
      <c r="H108" s="13">
        <f>_Q161</f>
        <v>0</v>
      </c>
      <c r="I108" s="13">
        <f>_Q117</f>
        <v>0</v>
      </c>
    </row>
    <row r="109" spans="1:18" x14ac:dyDescent="0.15">
      <c r="A109" s="21">
        <f>IF(D109&gt;=1,1,0)</f>
        <v>0</v>
      </c>
      <c r="B109" s="30"/>
      <c r="C109" s="23"/>
      <c r="D109" s="19">
        <f>SUM(E110:P110)/R109</f>
        <v>0</v>
      </c>
      <c r="E109" s="20">
        <v>2</v>
      </c>
      <c r="F109" s="20">
        <v>3</v>
      </c>
      <c r="G109" s="20">
        <v>2</v>
      </c>
      <c r="H109" s="20">
        <v>1</v>
      </c>
      <c r="I109" s="20">
        <v>1</v>
      </c>
      <c r="R109" s="15">
        <v>3</v>
      </c>
    </row>
    <row r="110" spans="1:18" x14ac:dyDescent="0.15">
      <c r="B110" s="30"/>
      <c r="C110" s="23"/>
      <c r="D110" s="14">
        <f>SUM(E110:P110)</f>
        <v>0</v>
      </c>
      <c r="E110" s="21">
        <f>IF(E108&lt;E109,0,1)</f>
        <v>0</v>
      </c>
      <c r="F110" s="21">
        <f>IF(F108&lt;F109,0,1)</f>
        <v>0</v>
      </c>
      <c r="G110" s="21">
        <f>IF(G108&lt;G109,0,1)</f>
        <v>0</v>
      </c>
      <c r="H110" s="21">
        <f>IF(H108&lt;H109,0,1)</f>
        <v>0</v>
      </c>
      <c r="I110" s="21">
        <f>IF(I108&lt;I109,0,1)</f>
        <v>0</v>
      </c>
    </row>
    <row r="111" spans="1:18" x14ac:dyDescent="0.15">
      <c r="B111" s="30"/>
      <c r="C111" s="23"/>
    </row>
    <row r="112" spans="1:18" x14ac:dyDescent="0.15">
      <c r="B112" s="30">
        <v>6</v>
      </c>
      <c r="C112" s="23" t="s">
        <v>338</v>
      </c>
      <c r="D112" s="18">
        <f>AVERAGE(E112:P112)</f>
        <v>0</v>
      </c>
      <c r="E112" s="13">
        <f>_Q203</f>
        <v>0</v>
      </c>
      <c r="F112" s="13">
        <f>_Q191</f>
        <v>0</v>
      </c>
      <c r="G112" s="13">
        <f>_Q188</f>
        <v>0</v>
      </c>
      <c r="H112" s="13">
        <f>_Q125</f>
        <v>0</v>
      </c>
    </row>
    <row r="113" spans="1:18" x14ac:dyDescent="0.15">
      <c r="A113" s="21">
        <f>IF(D113&gt;=1,1,0)</f>
        <v>0</v>
      </c>
      <c r="B113" s="30"/>
      <c r="C113" s="23"/>
      <c r="D113" s="19">
        <f>SUM(E114:P114)/R113</f>
        <v>0</v>
      </c>
      <c r="E113" s="20">
        <v>1</v>
      </c>
      <c r="F113" s="20">
        <v>1</v>
      </c>
      <c r="G113" s="20">
        <v>2</v>
      </c>
      <c r="H113" s="20">
        <v>1</v>
      </c>
      <c r="R113" s="15">
        <v>2</v>
      </c>
    </row>
    <row r="114" spans="1:18" x14ac:dyDescent="0.15">
      <c r="B114" s="30"/>
      <c r="C114" s="23"/>
      <c r="D114" s="14">
        <f>SUM(E114:P114)</f>
        <v>0</v>
      </c>
      <c r="E114" s="21">
        <f>IF(E112&lt;E113,0,1)</f>
        <v>0</v>
      </c>
      <c r="F114" s="21">
        <f>IF(F112&lt;F113,0,1)</f>
        <v>0</v>
      </c>
      <c r="G114" s="21">
        <f>IF(G112&lt;G113,0,1)</f>
        <v>0</v>
      </c>
      <c r="H114" s="21">
        <f>IF(H112&lt;H113,0,1)</f>
        <v>0</v>
      </c>
    </row>
    <row r="115" spans="1:18" x14ac:dyDescent="0.15">
      <c r="B115" s="30"/>
      <c r="C115" s="23"/>
    </row>
    <row r="116" spans="1:18" x14ac:dyDescent="0.15">
      <c r="B116" s="30">
        <v>7</v>
      </c>
      <c r="C116" s="23" t="s">
        <v>339</v>
      </c>
      <c r="D116" s="18">
        <f>AVERAGE(E116:P116)</f>
        <v>0</v>
      </c>
      <c r="E116" s="13">
        <f>_Q209</f>
        <v>0</v>
      </c>
      <c r="F116" s="13">
        <f>_Q198</f>
        <v>0</v>
      </c>
      <c r="G116" s="13">
        <f>_Q113</f>
        <v>0</v>
      </c>
      <c r="H116" s="13">
        <f>_Q120</f>
        <v>0</v>
      </c>
    </row>
    <row r="117" spans="1:18" x14ac:dyDescent="0.15">
      <c r="A117" s="21">
        <f>IF(D117&gt;=1,1,0)</f>
        <v>0</v>
      </c>
      <c r="B117" s="30"/>
      <c r="C117" s="23"/>
      <c r="D117" s="19">
        <f>SUM(E118:P118)/R117</f>
        <v>0</v>
      </c>
      <c r="E117" s="20">
        <v>3</v>
      </c>
      <c r="F117" s="20">
        <v>3</v>
      </c>
      <c r="G117" s="20">
        <v>4</v>
      </c>
      <c r="H117" s="20">
        <v>2</v>
      </c>
      <c r="R117" s="15">
        <v>2</v>
      </c>
    </row>
    <row r="118" spans="1:18" x14ac:dyDescent="0.15">
      <c r="B118" s="30"/>
      <c r="C118" s="23"/>
      <c r="D118" s="14">
        <f>SUM(E118:P118)</f>
        <v>0</v>
      </c>
      <c r="E118" s="21">
        <f>IF(E116&lt;E117,0,1)</f>
        <v>0</v>
      </c>
      <c r="F118" s="21">
        <f>IF(F116&lt;F117,0,1)</f>
        <v>0</v>
      </c>
      <c r="G118" s="21">
        <f>IF(G116&lt;G117,0,1)</f>
        <v>0</v>
      </c>
      <c r="H118" s="21">
        <f>IF(H116&lt;H117,0,1)</f>
        <v>0</v>
      </c>
    </row>
    <row r="119" spans="1:18" x14ac:dyDescent="0.15">
      <c r="B119" s="30"/>
      <c r="C119" s="23"/>
    </row>
    <row r="120" spans="1:18" x14ac:dyDescent="0.15">
      <c r="B120" s="30">
        <v>8</v>
      </c>
      <c r="C120" s="23" t="s">
        <v>340</v>
      </c>
      <c r="D120" s="18">
        <f>AVERAGE(E120:P120)</f>
        <v>0</v>
      </c>
      <c r="E120" s="13">
        <f>_Q180</f>
        <v>0</v>
      </c>
      <c r="F120" s="13">
        <f>_Q20</f>
        <v>0</v>
      </c>
      <c r="G120" s="13">
        <f>_Q22</f>
        <v>0</v>
      </c>
      <c r="H120" s="13">
        <f>_Q151</f>
        <v>0</v>
      </c>
    </row>
    <row r="121" spans="1:18" x14ac:dyDescent="0.15">
      <c r="A121" s="21">
        <f>IF(D121&gt;=1,1,0)</f>
        <v>0</v>
      </c>
      <c r="B121" s="30"/>
      <c r="C121" s="23"/>
      <c r="D121" s="19">
        <f>SUM(E122:P122)/R121</f>
        <v>0</v>
      </c>
      <c r="E121" s="20">
        <v>2</v>
      </c>
      <c r="F121" s="20">
        <v>2</v>
      </c>
      <c r="G121" s="20">
        <v>3</v>
      </c>
      <c r="H121" s="20">
        <v>3</v>
      </c>
      <c r="R121" s="15">
        <v>2</v>
      </c>
    </row>
    <row r="122" spans="1:18" x14ac:dyDescent="0.15">
      <c r="B122" s="31">
        <f>SUM(A91:A122)</f>
        <v>0</v>
      </c>
      <c r="C122" s="23" t="s">
        <v>353</v>
      </c>
      <c r="D122" s="14">
        <f>SUM(E122:P122)</f>
        <v>0</v>
      </c>
      <c r="E122" s="21">
        <f>IF(E120&lt;E121,0,1)</f>
        <v>0</v>
      </c>
      <c r="F122" s="21">
        <f>IF(F120&lt;F121,0,1)</f>
        <v>0</v>
      </c>
      <c r="G122" s="21">
        <f>IF(G120&lt;G121,0,1)</f>
        <v>0</v>
      </c>
      <c r="H122" s="21">
        <f>IF(H120&lt;H121,0,1)</f>
        <v>0</v>
      </c>
    </row>
    <row r="123" spans="1:18" x14ac:dyDescent="0.15">
      <c r="B123" s="31"/>
      <c r="C123" s="23"/>
      <c r="E123" s="21"/>
      <c r="F123" s="21"/>
      <c r="G123" s="21"/>
      <c r="H123" s="21"/>
    </row>
    <row r="124" spans="1:18" x14ac:dyDescent="0.15">
      <c r="B124" s="31"/>
      <c r="C124" s="35" t="s">
        <v>380</v>
      </c>
      <c r="D124" s="14">
        <f>(SUM(E92:P92)+SUM(E96:P96)+SUM(E100:P100)+SUM(E104:P104)+SUM(E108:P108)+SUM(E112:P112)+SUM(E116:P116)+SUM(E120:P120))/35</f>
        <v>0</v>
      </c>
      <c r="E124" s="21"/>
      <c r="F124" s="21"/>
      <c r="G124" s="21"/>
      <c r="H124" s="21"/>
    </row>
    <row r="125" spans="1:18" x14ac:dyDescent="0.15">
      <c r="B125" s="31"/>
      <c r="C125" s="23"/>
      <c r="E125" s="21"/>
      <c r="F125" s="21"/>
      <c r="G125" s="21"/>
      <c r="H125" s="21"/>
    </row>
    <row r="126" spans="1:18" x14ac:dyDescent="0.15">
      <c r="B126" s="112"/>
      <c r="C126" s="110"/>
    </row>
    <row r="127" spans="1:18" x14ac:dyDescent="0.15">
      <c r="B127" s="517">
        <v>9</v>
      </c>
      <c r="C127" s="518" t="s">
        <v>341</v>
      </c>
      <c r="D127" s="18">
        <f>AVERAGE(E127:P127)</f>
        <v>0</v>
      </c>
      <c r="E127" s="13">
        <f>_Q52</f>
        <v>0</v>
      </c>
    </row>
    <row r="128" spans="1:18" x14ac:dyDescent="0.15">
      <c r="B128" s="517"/>
      <c r="C128" s="518"/>
      <c r="D128" s="19">
        <f>SUM(E129:P129)/R128</f>
        <v>0</v>
      </c>
      <c r="E128" s="20">
        <v>1</v>
      </c>
      <c r="R128" s="15">
        <v>1</v>
      </c>
    </row>
    <row r="129" spans="1:18" x14ac:dyDescent="0.15">
      <c r="B129" s="517"/>
      <c r="C129" s="518"/>
      <c r="D129" s="14">
        <f>SUM(E129:P129)</f>
        <v>0</v>
      </c>
      <c r="E129" s="21">
        <f>IF(E127&lt;E128,0,1)</f>
        <v>0</v>
      </c>
    </row>
    <row r="130" spans="1:18" x14ac:dyDescent="0.15">
      <c r="B130" s="517"/>
      <c r="C130" s="518"/>
    </row>
    <row r="131" spans="1:18" x14ac:dyDescent="0.15">
      <c r="B131" s="517"/>
      <c r="C131" s="518"/>
    </row>
    <row r="132" spans="1:18" x14ac:dyDescent="0.15">
      <c r="B132" s="517"/>
      <c r="C132" s="518" t="s">
        <v>297</v>
      </c>
      <c r="D132" s="18">
        <f>AVERAGE(E132:P132)</f>
        <v>0</v>
      </c>
      <c r="E132" s="13">
        <f>_Q11</f>
        <v>0</v>
      </c>
      <c r="F132" s="13">
        <f>_Q26</f>
        <v>0</v>
      </c>
      <c r="G132" s="13">
        <f>_Q52</f>
        <v>0</v>
      </c>
      <c r="H132" s="13">
        <f>_Q98</f>
        <v>0</v>
      </c>
    </row>
    <row r="133" spans="1:18" x14ac:dyDescent="0.15">
      <c r="B133" s="517"/>
      <c r="C133" s="518"/>
      <c r="D133" s="19">
        <f>SUM(E134:P134)</f>
        <v>0</v>
      </c>
      <c r="E133" s="20">
        <v>1</v>
      </c>
      <c r="F133" s="20">
        <v>1</v>
      </c>
      <c r="G133" s="20">
        <v>1</v>
      </c>
      <c r="H133" s="20">
        <v>1</v>
      </c>
    </row>
    <row r="134" spans="1:18" x14ac:dyDescent="0.15">
      <c r="B134" s="517"/>
      <c r="C134" s="518"/>
      <c r="D134" s="137">
        <f>AVERAGE(E134:P134)*100</f>
        <v>0</v>
      </c>
      <c r="E134" s="21">
        <f>IF(E132&lt;E133,0,1)</f>
        <v>0</v>
      </c>
      <c r="F134" s="21">
        <f>IF(F132&lt;F133,0,1)</f>
        <v>0</v>
      </c>
      <c r="G134" s="21">
        <f>IF(G132&lt;G133,0,1)</f>
        <v>0</v>
      </c>
      <c r="H134" s="21">
        <f>IF(H132&lt;H133,0,1)</f>
        <v>0</v>
      </c>
    </row>
    <row r="135" spans="1:18" x14ac:dyDescent="0.15">
      <c r="B135" s="517"/>
      <c r="C135" s="518"/>
      <c r="E135" s="21"/>
      <c r="F135" s="21"/>
      <c r="G135" s="21"/>
      <c r="H135" s="21"/>
    </row>
    <row r="136" spans="1:18" x14ac:dyDescent="0.15">
      <c r="B136" s="517"/>
      <c r="C136" s="518" t="s">
        <v>305</v>
      </c>
      <c r="D136" s="18">
        <f>AVERAGE(E136:P136)</f>
        <v>0</v>
      </c>
      <c r="E136" s="37">
        <f>_Q33</f>
        <v>0</v>
      </c>
      <c r="F136" s="37">
        <f>_Q110</f>
        <v>0</v>
      </c>
      <c r="G136" s="37">
        <f>_Q1</f>
        <v>0</v>
      </c>
      <c r="H136" s="37">
        <f>_Q132</f>
        <v>0</v>
      </c>
      <c r="I136" s="37">
        <f>_Q109</f>
        <v>0</v>
      </c>
      <c r="J136" s="37">
        <f>_Q87</f>
        <v>0</v>
      </c>
      <c r="K136" s="37">
        <f>_Q100</f>
        <v>0</v>
      </c>
      <c r="L136" s="37">
        <f>_Q121</f>
        <v>0</v>
      </c>
      <c r="M136" s="37">
        <f>_Q65</f>
        <v>0</v>
      </c>
      <c r="N136" s="37">
        <f>_Q10</f>
        <v>0</v>
      </c>
      <c r="O136" s="37">
        <f>_Q88</f>
        <v>0</v>
      </c>
      <c r="P136" s="37">
        <f>_Q142</f>
        <v>0</v>
      </c>
    </row>
    <row r="137" spans="1:18" x14ac:dyDescent="0.15">
      <c r="B137" s="517"/>
      <c r="C137" s="518"/>
      <c r="D137" s="19">
        <f>SUM(E138:P138)</f>
        <v>0</v>
      </c>
      <c r="E137" s="20">
        <v>9</v>
      </c>
      <c r="F137" s="20">
        <v>8</v>
      </c>
      <c r="G137" s="20">
        <v>9</v>
      </c>
      <c r="H137" s="20">
        <v>6</v>
      </c>
      <c r="I137" s="20">
        <v>8</v>
      </c>
      <c r="J137" s="20">
        <v>8</v>
      </c>
      <c r="K137" s="20">
        <v>6</v>
      </c>
      <c r="L137" s="20">
        <v>8</v>
      </c>
      <c r="M137" s="20">
        <v>9</v>
      </c>
      <c r="N137" s="20">
        <v>8</v>
      </c>
      <c r="O137" s="20">
        <v>8</v>
      </c>
      <c r="P137" s="20">
        <v>10</v>
      </c>
    </row>
    <row r="138" spans="1:18" x14ac:dyDescent="0.15">
      <c r="B138" s="517"/>
      <c r="C138" s="518"/>
      <c r="E138" s="21">
        <f>IF(E136&lt;E137,0,1)</f>
        <v>0</v>
      </c>
      <c r="F138" s="21">
        <f t="shared" ref="F138:P138" si="21">IF(F136&lt;F137,0,1)</f>
        <v>0</v>
      </c>
      <c r="G138" s="21">
        <f t="shared" si="21"/>
        <v>0</v>
      </c>
      <c r="H138" s="21">
        <f t="shared" si="21"/>
        <v>0</v>
      </c>
      <c r="I138" s="21">
        <f t="shared" si="21"/>
        <v>0</v>
      </c>
      <c r="J138" s="21">
        <f t="shared" si="21"/>
        <v>0</v>
      </c>
      <c r="K138" s="21">
        <f t="shared" si="21"/>
        <v>0</v>
      </c>
      <c r="L138" s="21">
        <f t="shared" si="21"/>
        <v>0</v>
      </c>
      <c r="M138" s="21">
        <f t="shared" si="21"/>
        <v>0</v>
      </c>
      <c r="N138" s="21">
        <f t="shared" si="21"/>
        <v>0</v>
      </c>
      <c r="O138" s="21">
        <f t="shared" si="21"/>
        <v>0</v>
      </c>
      <c r="P138" s="21">
        <f t="shared" si="21"/>
        <v>0</v>
      </c>
    </row>
    <row r="139" spans="1:18" x14ac:dyDescent="0.15">
      <c r="B139" s="517"/>
      <c r="C139" s="518"/>
      <c r="D139" s="519"/>
      <c r="E139" s="520"/>
      <c r="F139" s="520"/>
      <c r="G139" s="520"/>
      <c r="H139" s="520"/>
      <c r="I139" s="520"/>
      <c r="J139" s="520"/>
      <c r="K139" s="520"/>
      <c r="L139" s="520"/>
      <c r="M139" s="520"/>
      <c r="N139" s="520"/>
      <c r="O139" s="520"/>
      <c r="P139" s="520"/>
      <c r="Q139" s="518"/>
      <c r="R139" s="521"/>
    </row>
    <row r="141" spans="1:18" ht="16" x14ac:dyDescent="0.15">
      <c r="A141" s="593" t="s">
        <v>310</v>
      </c>
    </row>
    <row r="143" spans="1:18" x14ac:dyDescent="0.15">
      <c r="B143" s="30" t="s">
        <v>712</v>
      </c>
      <c r="C143" s="23"/>
      <c r="D143" s="109"/>
      <c r="E143" s="110"/>
      <c r="F143" s="110"/>
      <c r="G143" s="110"/>
      <c r="H143" s="110"/>
      <c r="I143" s="110"/>
      <c r="J143" s="110"/>
      <c r="K143" s="110"/>
      <c r="L143" s="110"/>
      <c r="M143" s="110"/>
      <c r="N143" s="110"/>
      <c r="O143" s="110"/>
      <c r="P143" s="110"/>
      <c r="Q143" s="110"/>
      <c r="R143" s="111"/>
    </row>
    <row r="144" spans="1:18" x14ac:dyDescent="0.15">
      <c r="B144" s="30" t="s">
        <v>318</v>
      </c>
      <c r="C144" s="23" t="s">
        <v>135</v>
      </c>
      <c r="D144" s="18">
        <f>AVERAGE(E144:P144)</f>
        <v>0</v>
      </c>
      <c r="E144" s="13">
        <f>_Q6</f>
        <v>0</v>
      </c>
      <c r="F144" s="13">
        <f>_Q97</f>
        <v>0</v>
      </c>
      <c r="G144" s="13">
        <f>_Q118</f>
        <v>0</v>
      </c>
    </row>
    <row r="145" spans="1:18" x14ac:dyDescent="0.15">
      <c r="A145" s="21">
        <f>IF(D145&gt;=1,1,0)</f>
        <v>0</v>
      </c>
      <c r="B145" s="30"/>
      <c r="C145" s="23"/>
      <c r="D145" s="19">
        <f>SUM(E146:Q146)/R145</f>
        <v>0</v>
      </c>
      <c r="E145" s="20">
        <v>2</v>
      </c>
      <c r="F145" s="20">
        <v>2</v>
      </c>
      <c r="G145" s="20">
        <v>1</v>
      </c>
      <c r="H145" s="20"/>
      <c r="R145" s="15">
        <v>1</v>
      </c>
    </row>
    <row r="146" spans="1:18" x14ac:dyDescent="0.15">
      <c r="B146" s="30"/>
      <c r="C146" s="23"/>
      <c r="E146" s="21">
        <f>IF(E144&lt;E145,0,1)</f>
        <v>0</v>
      </c>
      <c r="F146" s="21">
        <f>IF(F144&lt;F145,0,1)</f>
        <v>0</v>
      </c>
      <c r="G146" s="21">
        <f>IF(G144&lt;G145,0,1)</f>
        <v>0</v>
      </c>
      <c r="H146" s="21"/>
    </row>
    <row r="147" spans="1:18" x14ac:dyDescent="0.15">
      <c r="B147" s="30"/>
      <c r="C147" s="23"/>
    </row>
    <row r="148" spans="1:18" x14ac:dyDescent="0.15">
      <c r="B148" s="30" t="s">
        <v>319</v>
      </c>
      <c r="C148" s="23" t="s">
        <v>409</v>
      </c>
      <c r="D148" s="18">
        <f>AVERAGE(E148:P148)</f>
        <v>0</v>
      </c>
      <c r="E148" s="13">
        <f>_Q30</f>
        <v>0</v>
      </c>
      <c r="F148" s="13">
        <f>_Q42</f>
        <v>0</v>
      </c>
      <c r="G148" s="13">
        <f>_Q112</f>
        <v>0</v>
      </c>
      <c r="H148" s="13">
        <f>_Q120</f>
        <v>0</v>
      </c>
      <c r="I148" s="13">
        <f>_Q161</f>
        <v>0</v>
      </c>
      <c r="J148" s="13">
        <f>_Q190</f>
        <v>0</v>
      </c>
      <c r="K148" s="13">
        <f>_Q199</f>
        <v>0</v>
      </c>
      <c r="L148" s="13">
        <f>_Q210</f>
        <v>0</v>
      </c>
      <c r="M148" s="13">
        <f>_Q212</f>
        <v>0</v>
      </c>
      <c r="N148" s="13">
        <f>_Q215</f>
        <v>0</v>
      </c>
    </row>
    <row r="149" spans="1:18" x14ac:dyDescent="0.15">
      <c r="A149" s="21">
        <f>IF(D149&gt;=1,1,0)</f>
        <v>0</v>
      </c>
      <c r="B149" s="30"/>
      <c r="C149" s="23"/>
      <c r="D149" s="19">
        <f>SUM(E150:Q150)/R149</f>
        <v>0</v>
      </c>
      <c r="E149" s="20">
        <v>1</v>
      </c>
      <c r="F149" s="20">
        <v>1</v>
      </c>
      <c r="G149" s="20">
        <v>2</v>
      </c>
      <c r="H149" s="20">
        <v>2</v>
      </c>
      <c r="I149" s="20">
        <v>1</v>
      </c>
      <c r="J149" s="20">
        <v>3</v>
      </c>
      <c r="K149" s="20">
        <v>1</v>
      </c>
      <c r="L149" s="20">
        <v>5</v>
      </c>
      <c r="M149" s="20">
        <v>3</v>
      </c>
      <c r="N149" s="20">
        <v>2</v>
      </c>
      <c r="R149" s="15">
        <v>3</v>
      </c>
    </row>
    <row r="150" spans="1:18" x14ac:dyDescent="0.15">
      <c r="B150" s="30"/>
      <c r="C150" s="23"/>
      <c r="D150" s="137">
        <f>AVERAGE(E150:P150)*100</f>
        <v>0</v>
      </c>
      <c r="E150" s="21">
        <f>IF(E148&lt;E149,0,1)</f>
        <v>0</v>
      </c>
      <c r="F150" s="21">
        <f>IF(F148&lt;F149,0,1)</f>
        <v>0</v>
      </c>
      <c r="G150" s="21">
        <f t="shared" ref="G150:N150" si="22">IF(G148&lt;G149,0,1)</f>
        <v>0</v>
      </c>
      <c r="H150" s="21">
        <f t="shared" si="22"/>
        <v>0</v>
      </c>
      <c r="I150" s="21">
        <f t="shared" si="22"/>
        <v>0</v>
      </c>
      <c r="J150" s="21">
        <f t="shared" si="22"/>
        <v>0</v>
      </c>
      <c r="K150" s="21">
        <f t="shared" si="22"/>
        <v>0</v>
      </c>
      <c r="L150" s="21">
        <f t="shared" si="22"/>
        <v>0</v>
      </c>
      <c r="M150" s="21">
        <f t="shared" si="22"/>
        <v>0</v>
      </c>
      <c r="N150" s="21">
        <f t="shared" si="22"/>
        <v>0</v>
      </c>
    </row>
    <row r="151" spans="1:18" x14ac:dyDescent="0.15">
      <c r="B151" s="30"/>
      <c r="C151" s="23"/>
    </row>
    <row r="152" spans="1:18" x14ac:dyDescent="0.15">
      <c r="B152" s="30" t="s">
        <v>320</v>
      </c>
      <c r="C152" s="23" t="s">
        <v>136</v>
      </c>
      <c r="D152" s="18">
        <f>AVERAGE(E152:P152)</f>
        <v>0</v>
      </c>
      <c r="E152" s="13">
        <f>_Q84</f>
        <v>0</v>
      </c>
      <c r="F152" s="13">
        <f>_Q140</f>
        <v>0</v>
      </c>
      <c r="G152" s="13">
        <f>_Q159</f>
        <v>0</v>
      </c>
      <c r="H152" s="13">
        <f>_Q171</f>
        <v>0</v>
      </c>
      <c r="I152" s="13">
        <f>_Q207</f>
        <v>0</v>
      </c>
    </row>
    <row r="153" spans="1:18" x14ac:dyDescent="0.15">
      <c r="A153" s="21">
        <f>IF(D153&gt;=1,1,0)</f>
        <v>0</v>
      </c>
      <c r="B153" s="30"/>
      <c r="C153" s="23"/>
      <c r="D153" s="19">
        <f>SUM(E154:Q154)/R153</f>
        <v>0</v>
      </c>
      <c r="E153" s="20">
        <v>2</v>
      </c>
      <c r="F153" s="20">
        <v>2</v>
      </c>
      <c r="G153" s="20">
        <v>2</v>
      </c>
      <c r="H153" s="20">
        <v>2</v>
      </c>
      <c r="I153" s="20">
        <v>2</v>
      </c>
      <c r="R153" s="15">
        <v>2</v>
      </c>
    </row>
    <row r="154" spans="1:18" x14ac:dyDescent="0.15">
      <c r="B154" s="30"/>
      <c r="C154" s="23"/>
      <c r="E154" s="21">
        <f>IF(E152&lt;E153,0,1)</f>
        <v>0</v>
      </c>
      <c r="F154" s="21">
        <f>IF(F152&lt;F153,0,1)</f>
        <v>0</v>
      </c>
      <c r="G154" s="21">
        <f>IF(G152&lt;G153,0,1)</f>
        <v>0</v>
      </c>
      <c r="H154" s="21">
        <f>IF(H152&lt;H153,0,1)</f>
        <v>0</v>
      </c>
      <c r="I154" s="21">
        <f>IF(I152&lt;I153,0,1)</f>
        <v>0</v>
      </c>
    </row>
    <row r="155" spans="1:18" x14ac:dyDescent="0.15">
      <c r="B155" s="30"/>
      <c r="C155" s="23"/>
    </row>
    <row r="156" spans="1:18" x14ac:dyDescent="0.15">
      <c r="B156" s="30" t="s">
        <v>321</v>
      </c>
      <c r="C156" s="23" t="s">
        <v>383</v>
      </c>
      <c r="D156" s="18">
        <f>AVERAGE(E156:P156)</f>
        <v>0</v>
      </c>
      <c r="E156" s="13">
        <f>_Q9</f>
        <v>0</v>
      </c>
      <c r="F156" s="13">
        <f>_Q99</f>
        <v>0</v>
      </c>
      <c r="G156" s="13">
        <f>_Q117</f>
        <v>0</v>
      </c>
    </row>
    <row r="157" spans="1:18" x14ac:dyDescent="0.15">
      <c r="A157" s="21">
        <f>IF(D157&gt;=1,1,0)</f>
        <v>0</v>
      </c>
      <c r="B157" s="30"/>
      <c r="C157" s="23"/>
      <c r="D157" s="19">
        <f>SUM(E158:Q158)/R157</f>
        <v>0</v>
      </c>
      <c r="E157" s="20">
        <v>3</v>
      </c>
      <c r="F157" s="20">
        <v>2</v>
      </c>
      <c r="G157" s="20">
        <v>1</v>
      </c>
      <c r="R157" s="15">
        <v>2</v>
      </c>
    </row>
    <row r="158" spans="1:18" x14ac:dyDescent="0.15">
      <c r="B158" s="30"/>
      <c r="C158" s="23"/>
      <c r="E158" s="21">
        <f>IF(E156&lt;E157,0,1)</f>
        <v>0</v>
      </c>
      <c r="F158" s="21">
        <f>IF(F156&lt;F157,0,1)</f>
        <v>0</v>
      </c>
      <c r="G158" s="21">
        <f>IF(G156&lt;G157,0,1)</f>
        <v>0</v>
      </c>
    </row>
    <row r="159" spans="1:18" x14ac:dyDescent="0.15">
      <c r="B159" s="30"/>
      <c r="C159" s="23"/>
    </row>
    <row r="160" spans="1:18" x14ac:dyDescent="0.15">
      <c r="B160" s="30" t="s">
        <v>322</v>
      </c>
      <c r="C160" s="23" t="s">
        <v>340</v>
      </c>
      <c r="D160" s="18">
        <f>AVERAGE(E160:P160)</f>
        <v>0</v>
      </c>
      <c r="E160" s="13">
        <f>_Q22</f>
        <v>0</v>
      </c>
      <c r="F160" s="13">
        <f>_Q146</f>
        <v>0</v>
      </c>
      <c r="G160" s="13">
        <f>_Q151</f>
        <v>0</v>
      </c>
      <c r="H160" s="13">
        <f>_Q180</f>
        <v>0</v>
      </c>
      <c r="I160" s="13">
        <f>_Q210</f>
        <v>0</v>
      </c>
    </row>
    <row r="161" spans="1:18" x14ac:dyDescent="0.15">
      <c r="A161" s="21">
        <f>IF(D161&gt;=1,1,0)</f>
        <v>0</v>
      </c>
      <c r="B161" s="30"/>
      <c r="C161" s="23"/>
      <c r="D161" s="19">
        <f>SUM(E162:Q162)/R161</f>
        <v>0</v>
      </c>
      <c r="E161" s="20">
        <v>3</v>
      </c>
      <c r="F161" s="20">
        <v>3</v>
      </c>
      <c r="G161" s="20">
        <v>3</v>
      </c>
      <c r="H161" s="20">
        <v>2</v>
      </c>
      <c r="I161" s="20">
        <v>5</v>
      </c>
      <c r="R161" s="15">
        <v>3</v>
      </c>
    </row>
    <row r="162" spans="1:18" x14ac:dyDescent="0.15">
      <c r="B162" s="30"/>
      <c r="C162" s="23"/>
      <c r="E162" s="21">
        <f>IF(E160&lt;E161,0,1)</f>
        <v>0</v>
      </c>
      <c r="F162" s="21">
        <f>IF(F160&lt;F161,0,1)</f>
        <v>0</v>
      </c>
      <c r="G162" s="21">
        <f>IF(G160&lt;G161,0,1)</f>
        <v>0</v>
      </c>
      <c r="H162" s="21">
        <f>IF(H160&lt;H161,0,1)</f>
        <v>0</v>
      </c>
      <c r="I162" s="21">
        <f>IF(I160&lt;I161,0,1)</f>
        <v>0</v>
      </c>
    </row>
    <row r="163" spans="1:18" x14ac:dyDescent="0.15">
      <c r="B163" s="30"/>
      <c r="C163" s="23"/>
    </row>
    <row r="164" spans="1:18" x14ac:dyDescent="0.15">
      <c r="B164" s="30" t="s">
        <v>323</v>
      </c>
      <c r="C164" s="38" t="s">
        <v>408</v>
      </c>
      <c r="D164" s="18">
        <f>AVERAGE(E164:P164)</f>
        <v>0</v>
      </c>
      <c r="E164" s="13">
        <f>_Q32</f>
        <v>0</v>
      </c>
      <c r="F164" s="13">
        <f>_Q57</f>
        <v>0</v>
      </c>
      <c r="G164" s="13">
        <f>_Q101</f>
        <v>0</v>
      </c>
      <c r="H164" s="13">
        <f>_Q146</f>
        <v>0</v>
      </c>
      <c r="I164" s="13">
        <f>_Q185</f>
        <v>0</v>
      </c>
      <c r="J164" s="13">
        <f>_Q193</f>
        <v>0</v>
      </c>
      <c r="K164" s="13">
        <f>_Q196</f>
        <v>0</v>
      </c>
    </row>
    <row r="165" spans="1:18" x14ac:dyDescent="0.15">
      <c r="A165" s="21">
        <f>IF(D165&gt;=1,1,0)</f>
        <v>0</v>
      </c>
      <c r="B165" s="30"/>
      <c r="C165" s="23"/>
      <c r="D165" s="19">
        <f>SUM(E166:Q166)/R165</f>
        <v>0</v>
      </c>
      <c r="E165" s="20">
        <v>4</v>
      </c>
      <c r="F165" s="20">
        <v>3</v>
      </c>
      <c r="G165" s="20">
        <v>3</v>
      </c>
      <c r="H165" s="20">
        <v>3</v>
      </c>
      <c r="I165" s="20">
        <v>3</v>
      </c>
      <c r="J165" s="20">
        <v>3</v>
      </c>
      <c r="K165" s="20">
        <v>3</v>
      </c>
      <c r="R165" s="15">
        <v>4</v>
      </c>
    </row>
    <row r="166" spans="1:18" x14ac:dyDescent="0.15">
      <c r="B166" s="30"/>
      <c r="C166" s="23"/>
      <c r="E166" s="21">
        <f>IF(E164&lt;E165,0,1)</f>
        <v>0</v>
      </c>
      <c r="F166" s="21">
        <f t="shared" ref="F166:K166" si="23">IF(F164&lt;F165,0,1)</f>
        <v>0</v>
      </c>
      <c r="G166" s="21">
        <f t="shared" si="23"/>
        <v>0</v>
      </c>
      <c r="H166" s="21">
        <f t="shared" si="23"/>
        <v>0</v>
      </c>
      <c r="I166" s="21">
        <f t="shared" si="23"/>
        <v>0</v>
      </c>
      <c r="J166" s="21">
        <f t="shared" si="23"/>
        <v>0</v>
      </c>
      <c r="K166" s="21">
        <f t="shared" si="23"/>
        <v>0</v>
      </c>
    </row>
    <row r="167" spans="1:18" x14ac:dyDescent="0.15">
      <c r="B167" s="30"/>
      <c r="C167" s="23"/>
    </row>
    <row r="168" spans="1:18" x14ac:dyDescent="0.15">
      <c r="B168" s="30" t="s">
        <v>324</v>
      </c>
      <c r="C168" s="38" t="s">
        <v>407</v>
      </c>
      <c r="D168" s="18">
        <f>AVERAGE(E168:P168)</f>
        <v>0</v>
      </c>
      <c r="E168" s="13">
        <f>_Q34</f>
        <v>0</v>
      </c>
      <c r="F168" s="13">
        <f>_Q112</f>
        <v>0</v>
      </c>
      <c r="G168" s="13">
        <f>_Q212</f>
        <v>0</v>
      </c>
    </row>
    <row r="169" spans="1:18" x14ac:dyDescent="0.15">
      <c r="A169" s="21">
        <f>IF(D169&gt;=1,1,0)</f>
        <v>0</v>
      </c>
      <c r="B169" s="30"/>
      <c r="C169" s="23"/>
      <c r="D169" s="19">
        <f>SUM(E170:Q170)/R169</f>
        <v>0</v>
      </c>
      <c r="E169" s="20">
        <v>2</v>
      </c>
      <c r="F169" s="20">
        <v>2</v>
      </c>
      <c r="G169" s="20">
        <v>3</v>
      </c>
      <c r="R169" s="15">
        <v>2</v>
      </c>
    </row>
    <row r="170" spans="1:18" x14ac:dyDescent="0.15">
      <c r="B170" s="30"/>
      <c r="C170" s="23"/>
      <c r="E170" s="21">
        <f>IF(E168&lt;E169,0,1)</f>
        <v>0</v>
      </c>
      <c r="F170" s="21">
        <f>IF(F168&lt;F169,0,1)</f>
        <v>0</v>
      </c>
      <c r="G170" s="21">
        <f>IF(G168&lt;G169,0,1)</f>
        <v>0</v>
      </c>
    </row>
    <row r="171" spans="1:18" x14ac:dyDescent="0.15">
      <c r="B171" s="30"/>
      <c r="C171" s="23"/>
    </row>
    <row r="172" spans="1:18" x14ac:dyDescent="0.15">
      <c r="B172" s="30" t="s">
        <v>325</v>
      </c>
      <c r="C172" s="38" t="s">
        <v>406</v>
      </c>
      <c r="D172" s="18">
        <f>AVERAGE(E172:P172)</f>
        <v>0</v>
      </c>
      <c r="E172" s="13">
        <f>_Q8</f>
        <v>0</v>
      </c>
      <c r="F172" s="13">
        <f>_Q17</f>
        <v>0</v>
      </c>
      <c r="G172" s="13">
        <f>_Q72</f>
        <v>0</v>
      </c>
      <c r="H172" s="13">
        <f>_Q91</f>
        <v>0</v>
      </c>
      <c r="I172" s="13">
        <f>_Q107</f>
        <v>0</v>
      </c>
      <c r="J172" s="13">
        <f>_Q133</f>
        <v>0</v>
      </c>
      <c r="K172" s="13">
        <f>_Q135</f>
        <v>0</v>
      </c>
      <c r="L172" s="13">
        <f>_Q161</f>
        <v>0</v>
      </c>
      <c r="M172" s="13">
        <f>_Q208</f>
        <v>0</v>
      </c>
    </row>
    <row r="173" spans="1:18" x14ac:dyDescent="0.15">
      <c r="A173" s="21">
        <f>IF(D173&gt;=1,1,0)</f>
        <v>0</v>
      </c>
      <c r="B173" s="30"/>
      <c r="C173" s="23"/>
      <c r="D173" s="19">
        <f>SUM(E174:Q174)/R173</f>
        <v>0</v>
      </c>
      <c r="E173" s="20">
        <v>2</v>
      </c>
      <c r="F173" s="20">
        <v>3</v>
      </c>
      <c r="G173" s="20">
        <v>2</v>
      </c>
      <c r="H173" s="20">
        <v>1</v>
      </c>
      <c r="I173" s="20">
        <v>2</v>
      </c>
      <c r="J173" s="20">
        <v>3</v>
      </c>
      <c r="K173" s="20">
        <v>3</v>
      </c>
      <c r="L173" s="20">
        <v>1</v>
      </c>
      <c r="M173" s="20">
        <v>3</v>
      </c>
      <c r="R173" s="15">
        <v>4</v>
      </c>
    </row>
    <row r="174" spans="1:18" x14ac:dyDescent="0.15">
      <c r="B174" s="30"/>
      <c r="C174" s="23"/>
      <c r="E174" s="21">
        <f>IF(E172&lt;E173,0,1)</f>
        <v>0</v>
      </c>
      <c r="F174" s="21">
        <f t="shared" ref="F174:M174" si="24">IF(F172&lt;F173,0,1)</f>
        <v>0</v>
      </c>
      <c r="G174" s="21">
        <f t="shared" si="24"/>
        <v>0</v>
      </c>
      <c r="H174" s="21">
        <f t="shared" si="24"/>
        <v>0</v>
      </c>
      <c r="I174" s="21">
        <f t="shared" si="24"/>
        <v>0</v>
      </c>
      <c r="J174" s="21">
        <f t="shared" si="24"/>
        <v>0</v>
      </c>
      <c r="K174" s="21">
        <f t="shared" si="24"/>
        <v>0</v>
      </c>
      <c r="L174" s="21">
        <f t="shared" si="24"/>
        <v>0</v>
      </c>
      <c r="M174" s="21">
        <f t="shared" si="24"/>
        <v>0</v>
      </c>
    </row>
    <row r="175" spans="1:18" x14ac:dyDescent="0.15">
      <c r="B175" s="30"/>
      <c r="C175" s="23"/>
    </row>
    <row r="176" spans="1:18" x14ac:dyDescent="0.15">
      <c r="B176" s="30" t="s">
        <v>326</v>
      </c>
      <c r="C176" s="23" t="s">
        <v>44</v>
      </c>
      <c r="D176" s="18">
        <f>AVERAGE(E176:P176)</f>
        <v>0</v>
      </c>
      <c r="E176" s="13">
        <f>_Q46</f>
        <v>0</v>
      </c>
      <c r="F176" s="13">
        <f>_Q56</f>
        <v>0</v>
      </c>
      <c r="G176" s="13">
        <f>_Q131</f>
        <v>0</v>
      </c>
      <c r="H176" s="13">
        <f>_Q162</f>
        <v>0</v>
      </c>
      <c r="I176" s="13">
        <f>_Q189</f>
        <v>0</v>
      </c>
    </row>
    <row r="177" spans="1:18" x14ac:dyDescent="0.15">
      <c r="A177" s="21">
        <f>IF(D177&gt;=1,1,0)</f>
        <v>0</v>
      </c>
      <c r="B177" s="30"/>
      <c r="C177" s="23"/>
      <c r="D177" s="19">
        <f>SUM(E178:Q178)/R177</f>
        <v>0</v>
      </c>
      <c r="E177" s="20">
        <v>1</v>
      </c>
      <c r="F177" s="20">
        <v>1</v>
      </c>
      <c r="G177" s="20">
        <v>3</v>
      </c>
      <c r="H177" s="20">
        <v>2</v>
      </c>
      <c r="I177" s="20">
        <v>2</v>
      </c>
      <c r="R177" s="15">
        <v>2</v>
      </c>
    </row>
    <row r="178" spans="1:18" x14ac:dyDescent="0.15">
      <c r="B178" s="30"/>
      <c r="C178" s="23"/>
      <c r="E178" s="21">
        <f>IF(E176&lt;E177,0,1)</f>
        <v>0</v>
      </c>
      <c r="F178" s="21">
        <f>IF(F176&lt;F177,0,1)</f>
        <v>0</v>
      </c>
      <c r="G178" s="21">
        <f>IF(G176&lt;G177,0,1)</f>
        <v>0</v>
      </c>
      <c r="H178" s="21">
        <f>IF(H176&lt;H177,0,1)</f>
        <v>0</v>
      </c>
      <c r="I178" s="21">
        <f>IF(I176&lt;I177,0,1)</f>
        <v>0</v>
      </c>
    </row>
    <row r="179" spans="1:18" x14ac:dyDescent="0.15">
      <c r="B179" s="30"/>
      <c r="C179" s="23"/>
    </row>
    <row r="180" spans="1:18" x14ac:dyDescent="0.15">
      <c r="B180" s="30" t="s">
        <v>327</v>
      </c>
      <c r="C180" s="169" t="s">
        <v>704</v>
      </c>
      <c r="D180" s="18">
        <f>AVERAGE(E180:P180)</f>
        <v>0</v>
      </c>
      <c r="E180" s="13">
        <f>_Q150</f>
        <v>0</v>
      </c>
      <c r="F180" s="13">
        <f>_Q197</f>
        <v>0</v>
      </c>
      <c r="G180" s="13">
        <f>_Q203</f>
        <v>0</v>
      </c>
      <c r="H180" s="13">
        <f>_Q107</f>
        <v>0</v>
      </c>
      <c r="I180" s="13">
        <f>_Q201</f>
        <v>0</v>
      </c>
      <c r="J180" s="13">
        <f>_Q180</f>
        <v>0</v>
      </c>
      <c r="K180" s="13">
        <f>_Q191</f>
        <v>0</v>
      </c>
      <c r="L180" s="13">
        <f>_Q200</f>
        <v>0</v>
      </c>
      <c r="M180" s="13">
        <f>_Q188</f>
        <v>0</v>
      </c>
      <c r="N180" s="13">
        <f>_Q4</f>
        <v>0</v>
      </c>
      <c r="O180" s="13">
        <f>_Q72</f>
        <v>0</v>
      </c>
      <c r="P180" s="13">
        <f>_Q83</f>
        <v>0</v>
      </c>
    </row>
    <row r="181" spans="1:18" x14ac:dyDescent="0.15">
      <c r="A181" s="21">
        <f>IF(D181&gt;=1,1,0)</f>
        <v>0</v>
      </c>
      <c r="B181" s="30"/>
      <c r="C181" s="23"/>
      <c r="D181" s="19">
        <f>SUM(E182:Q182)/R181</f>
        <v>0</v>
      </c>
      <c r="E181" s="13">
        <v>1</v>
      </c>
      <c r="F181" s="13">
        <v>1</v>
      </c>
      <c r="G181" s="13">
        <v>1</v>
      </c>
      <c r="H181" s="13">
        <v>2</v>
      </c>
      <c r="I181" s="13">
        <v>1</v>
      </c>
      <c r="J181" s="13">
        <v>2</v>
      </c>
      <c r="K181" s="13">
        <v>1</v>
      </c>
      <c r="L181" s="13">
        <v>2</v>
      </c>
      <c r="M181" s="13">
        <v>2</v>
      </c>
      <c r="N181" s="13">
        <v>3</v>
      </c>
      <c r="O181" s="13">
        <v>2</v>
      </c>
      <c r="P181" s="13">
        <v>3</v>
      </c>
      <c r="R181" s="15">
        <v>4</v>
      </c>
    </row>
    <row r="182" spans="1:18" x14ac:dyDescent="0.15">
      <c r="B182" s="30"/>
      <c r="C182" s="23"/>
      <c r="D182" s="137">
        <f>AVERAGE(E182:P182)*100</f>
        <v>0</v>
      </c>
      <c r="E182" s="21">
        <f>IF(E180&lt;E181,0,1)</f>
        <v>0</v>
      </c>
      <c r="F182" s="21">
        <f t="shared" ref="F182:P182" si="25">IF(F180&lt;F181,0,1)</f>
        <v>0</v>
      </c>
      <c r="G182" s="21">
        <f t="shared" si="25"/>
        <v>0</v>
      </c>
      <c r="H182" s="21">
        <f t="shared" si="25"/>
        <v>0</v>
      </c>
      <c r="I182" s="21">
        <f t="shared" si="25"/>
        <v>0</v>
      </c>
      <c r="J182" s="21">
        <f t="shared" si="25"/>
        <v>0</v>
      </c>
      <c r="K182" s="21">
        <f t="shared" si="25"/>
        <v>0</v>
      </c>
      <c r="L182" s="21">
        <f t="shared" si="25"/>
        <v>0</v>
      </c>
      <c r="M182" s="21">
        <f t="shared" si="25"/>
        <v>0</v>
      </c>
      <c r="N182" s="21">
        <f t="shared" si="25"/>
        <v>0</v>
      </c>
      <c r="O182" s="21">
        <f t="shared" si="25"/>
        <v>0</v>
      </c>
      <c r="P182" s="21">
        <f t="shared" si="25"/>
        <v>0</v>
      </c>
    </row>
    <row r="183" spans="1:18" x14ac:dyDescent="0.15">
      <c r="B183" s="30"/>
      <c r="C183" s="23"/>
    </row>
    <row r="184" spans="1:18" x14ac:dyDescent="0.15">
      <c r="B184" s="30" t="s">
        <v>328</v>
      </c>
      <c r="C184" s="169" t="s">
        <v>703</v>
      </c>
      <c r="D184" s="18">
        <f>AVERAGE(E184:P184)</f>
        <v>0</v>
      </c>
      <c r="E184" s="13">
        <f>_Q17</f>
        <v>0</v>
      </c>
      <c r="F184" s="13">
        <f>_Q49</f>
        <v>0</v>
      </c>
      <c r="G184" s="13">
        <f>_Q57</f>
        <v>0</v>
      </c>
      <c r="H184" s="13">
        <f>_Q89</f>
        <v>0</v>
      </c>
      <c r="I184" s="13">
        <f>_Q146</f>
        <v>0</v>
      </c>
      <c r="J184" s="13">
        <f>_Q158</f>
        <v>0</v>
      </c>
      <c r="K184" s="13">
        <f>_Q165</f>
        <v>0</v>
      </c>
      <c r="L184" s="13">
        <f>_Q193</f>
        <v>0</v>
      </c>
    </row>
    <row r="185" spans="1:18" x14ac:dyDescent="0.15">
      <c r="A185" s="21">
        <f>IF(D185&gt;=1,1,0)</f>
        <v>0</v>
      </c>
      <c r="B185" s="30"/>
      <c r="C185" s="23"/>
      <c r="D185" s="19">
        <f>SUM(E186:Q186)/R185</f>
        <v>0</v>
      </c>
      <c r="E185" s="20">
        <v>3</v>
      </c>
      <c r="F185" s="20">
        <v>3</v>
      </c>
      <c r="G185" s="20">
        <v>3</v>
      </c>
      <c r="H185" s="20">
        <v>3</v>
      </c>
      <c r="I185" s="20">
        <v>3</v>
      </c>
      <c r="J185" s="20">
        <v>4</v>
      </c>
      <c r="K185" s="20">
        <v>4</v>
      </c>
      <c r="L185" s="20">
        <v>3</v>
      </c>
      <c r="R185" s="15">
        <v>3</v>
      </c>
    </row>
    <row r="186" spans="1:18" x14ac:dyDescent="0.15">
      <c r="B186" s="31">
        <f>SUM(A143:A186)</f>
        <v>0</v>
      </c>
      <c r="C186" s="23" t="s">
        <v>364</v>
      </c>
      <c r="E186" s="21">
        <f>IF(E184&lt;E185,0,1)</f>
        <v>0</v>
      </c>
      <c r="F186" s="21">
        <f t="shared" ref="F186:L186" si="26">IF(F184&lt;F185,0,1)</f>
        <v>0</v>
      </c>
      <c r="G186" s="21">
        <f t="shared" si="26"/>
        <v>0</v>
      </c>
      <c r="H186" s="21">
        <f t="shared" si="26"/>
        <v>0</v>
      </c>
      <c r="I186" s="21">
        <f t="shared" si="26"/>
        <v>0</v>
      </c>
      <c r="J186" s="21">
        <f t="shared" si="26"/>
        <v>0</v>
      </c>
      <c r="K186" s="21">
        <f t="shared" si="26"/>
        <v>0</v>
      </c>
      <c r="L186" s="21">
        <f t="shared" si="26"/>
        <v>0</v>
      </c>
    </row>
    <row r="187" spans="1:18" x14ac:dyDescent="0.15">
      <c r="B187" s="112"/>
      <c r="C187" s="110"/>
      <c r="D187" s="109"/>
      <c r="E187" s="110"/>
      <c r="F187" s="110"/>
      <c r="G187" s="110"/>
      <c r="H187" s="110"/>
      <c r="I187" s="110"/>
      <c r="J187" s="110"/>
      <c r="K187" s="110"/>
      <c r="L187" s="110"/>
      <c r="M187" s="110"/>
      <c r="N187" s="110"/>
      <c r="O187" s="110"/>
      <c r="P187" s="110"/>
      <c r="Q187" s="110"/>
      <c r="R187" s="111"/>
    </row>
    <row r="189" spans="1:18" ht="16" x14ac:dyDescent="0.15">
      <c r="A189" s="594" t="s">
        <v>311</v>
      </c>
    </row>
    <row r="191" spans="1:18" x14ac:dyDescent="0.15">
      <c r="B191" s="30" t="s">
        <v>38</v>
      </c>
      <c r="C191" s="23"/>
      <c r="D191" s="109"/>
      <c r="E191" s="110"/>
      <c r="F191" s="110"/>
      <c r="G191" s="110"/>
      <c r="H191" s="110"/>
      <c r="I191" s="122"/>
      <c r="J191" s="110"/>
      <c r="K191" s="110"/>
      <c r="L191" s="110"/>
      <c r="M191" s="110"/>
      <c r="N191" s="110"/>
      <c r="O191" s="110"/>
      <c r="P191" s="110"/>
      <c r="Q191" s="110"/>
      <c r="R191" s="111"/>
    </row>
    <row r="192" spans="1:18" x14ac:dyDescent="0.15">
      <c r="B192" s="30" t="s">
        <v>329</v>
      </c>
      <c r="C192" s="23" t="s">
        <v>137</v>
      </c>
      <c r="D192" s="18">
        <f>AVERAGE(E192:P192)</f>
        <v>0</v>
      </c>
      <c r="E192" s="13">
        <f>_Q23</f>
        <v>0</v>
      </c>
      <c r="F192" s="13">
        <f>_Q31</f>
        <v>0</v>
      </c>
      <c r="G192" s="13">
        <f>_Q85</f>
        <v>0</v>
      </c>
      <c r="H192" s="13">
        <f>_Q141</f>
        <v>0</v>
      </c>
    </row>
    <row r="193" spans="1:18" x14ac:dyDescent="0.15">
      <c r="A193" s="21">
        <f>IF(D193&gt;=1,1,0)</f>
        <v>0</v>
      </c>
      <c r="B193" s="30"/>
      <c r="C193" s="23"/>
      <c r="D193" s="19">
        <f>SUM(E194:Q194)/R193</f>
        <v>0</v>
      </c>
      <c r="E193" s="20">
        <v>3</v>
      </c>
      <c r="F193" s="20">
        <v>3</v>
      </c>
      <c r="G193" s="20">
        <v>3</v>
      </c>
      <c r="H193" s="20">
        <v>2</v>
      </c>
      <c r="R193" s="15">
        <v>2</v>
      </c>
    </row>
    <row r="194" spans="1:18" x14ac:dyDescent="0.15">
      <c r="B194" s="30"/>
      <c r="C194" s="23"/>
      <c r="E194" s="21">
        <f>IF(E192&lt;E193,0,1)</f>
        <v>0</v>
      </c>
      <c r="F194" s="21">
        <f>IF(F192&lt;F193,0,1)</f>
        <v>0</v>
      </c>
      <c r="G194" s="21">
        <f>IF(G192&lt;G193,0,1)</f>
        <v>0</v>
      </c>
      <c r="H194" s="21">
        <f>IF(H192&lt;H193,0,1)</f>
        <v>0</v>
      </c>
    </row>
    <row r="195" spans="1:18" x14ac:dyDescent="0.15">
      <c r="B195" s="30"/>
      <c r="C195" s="23"/>
    </row>
    <row r="196" spans="1:18" x14ac:dyDescent="0.15">
      <c r="B196" s="30" t="s">
        <v>330</v>
      </c>
      <c r="C196" s="23" t="s">
        <v>138</v>
      </c>
      <c r="D196" s="18">
        <f>AVERAGE(E196:P196)</f>
        <v>0</v>
      </c>
      <c r="E196" s="13">
        <f>_Q50</f>
        <v>0</v>
      </c>
      <c r="F196" s="13">
        <f>_Q74</f>
        <v>0</v>
      </c>
      <c r="G196" s="13">
        <f>_Q179</f>
        <v>0</v>
      </c>
      <c r="H196" s="13">
        <f>_Q204</f>
        <v>0</v>
      </c>
    </row>
    <row r="197" spans="1:18" x14ac:dyDescent="0.15">
      <c r="A197" s="21">
        <f>IF(D197&gt;=1,1,0)</f>
        <v>0</v>
      </c>
      <c r="B197" s="30"/>
      <c r="C197" s="23"/>
      <c r="D197" s="19">
        <f>SUM(E198:Q198)/R197</f>
        <v>0</v>
      </c>
      <c r="E197" s="20">
        <v>2</v>
      </c>
      <c r="F197" s="20">
        <v>2</v>
      </c>
      <c r="G197" s="20">
        <v>1</v>
      </c>
      <c r="H197" s="20">
        <v>1</v>
      </c>
      <c r="R197" s="15">
        <v>2</v>
      </c>
    </row>
    <row r="198" spans="1:18" x14ac:dyDescent="0.15">
      <c r="B198" s="30"/>
      <c r="C198" s="23"/>
      <c r="E198" s="21">
        <f>IF(E196&lt;E197,0,1)</f>
        <v>0</v>
      </c>
      <c r="F198" s="21">
        <f>IF(F196&lt;F197,0,1)</f>
        <v>0</v>
      </c>
      <c r="G198" s="21">
        <f>IF(G196&lt;G197,0,1)</f>
        <v>0</v>
      </c>
      <c r="H198" s="21">
        <f>IF(H196&lt;H197,0,1)</f>
        <v>0</v>
      </c>
    </row>
    <row r="199" spans="1:18" x14ac:dyDescent="0.15">
      <c r="B199" s="30"/>
      <c r="C199" s="23"/>
    </row>
    <row r="200" spans="1:18" x14ac:dyDescent="0.15">
      <c r="B200" s="30" t="s">
        <v>331</v>
      </c>
      <c r="C200" s="23" t="s">
        <v>302</v>
      </c>
      <c r="D200" s="18">
        <f>AVERAGE(E200:P200)</f>
        <v>0</v>
      </c>
      <c r="E200" s="13">
        <f>_Q64</f>
        <v>0</v>
      </c>
      <c r="F200" s="13">
        <f>_Q86</f>
        <v>0</v>
      </c>
      <c r="G200" s="13">
        <f>_Q119</f>
        <v>0</v>
      </c>
      <c r="H200" s="13">
        <f>_Q160</f>
        <v>0</v>
      </c>
      <c r="I200" s="13">
        <f>_Q173</f>
        <v>0</v>
      </c>
    </row>
    <row r="201" spans="1:18" x14ac:dyDescent="0.15">
      <c r="A201" s="21">
        <f>IF(D201&gt;=1,1,0)</f>
        <v>0</v>
      </c>
      <c r="B201" s="30"/>
      <c r="C201" s="23"/>
      <c r="D201" s="19">
        <f>SUM(E202:Q202)/R201</f>
        <v>0</v>
      </c>
      <c r="E201" s="20">
        <v>2</v>
      </c>
      <c r="F201" s="20">
        <v>1</v>
      </c>
      <c r="G201" s="20">
        <v>2</v>
      </c>
      <c r="H201" s="20">
        <v>1</v>
      </c>
      <c r="I201" s="20">
        <v>1</v>
      </c>
      <c r="R201" s="15">
        <v>2</v>
      </c>
    </row>
    <row r="202" spans="1:18" x14ac:dyDescent="0.15">
      <c r="B202" s="30"/>
      <c r="C202" s="23"/>
      <c r="E202" s="21">
        <f>IF(E200&lt;E201,0,1)</f>
        <v>0</v>
      </c>
      <c r="F202" s="21">
        <f>IF(F200&lt;F201,0,1)</f>
        <v>0</v>
      </c>
      <c r="G202" s="21">
        <f>IF(G200&lt;G201,0,1)</f>
        <v>0</v>
      </c>
      <c r="H202" s="21">
        <f>IF(H200&lt;H201,0,1)</f>
        <v>0</v>
      </c>
      <c r="I202" s="21">
        <f>IF(I200&lt;I201,0,1)</f>
        <v>0</v>
      </c>
    </row>
    <row r="203" spans="1:18" x14ac:dyDescent="0.15">
      <c r="B203" s="30"/>
      <c r="C203" s="23"/>
      <c r="E203" s="21"/>
      <c r="F203" s="21"/>
      <c r="G203" s="21"/>
      <c r="H203" s="21"/>
      <c r="I203" s="21"/>
    </row>
    <row r="204" spans="1:18" x14ac:dyDescent="0.15">
      <c r="B204" s="30"/>
      <c r="C204" s="23"/>
    </row>
    <row r="205" spans="1:18" x14ac:dyDescent="0.15">
      <c r="B205" s="30" t="s">
        <v>329</v>
      </c>
      <c r="C205" s="169" t="s">
        <v>707</v>
      </c>
      <c r="D205" s="18">
        <f>AVERAGE(E205:P205)</f>
        <v>0</v>
      </c>
      <c r="E205" s="13">
        <f>_Q19</f>
        <v>0</v>
      </c>
      <c r="F205" s="13">
        <f>_Q53</f>
        <v>0</v>
      </c>
      <c r="G205" s="13">
        <f>_Q129</f>
        <v>0</v>
      </c>
      <c r="H205" s="13">
        <f>_Q152</f>
        <v>0</v>
      </c>
    </row>
    <row r="206" spans="1:18" x14ac:dyDescent="0.15">
      <c r="A206" s="21">
        <f>IF(D206&gt;=1,1,0)</f>
        <v>0</v>
      </c>
      <c r="B206" s="30"/>
      <c r="C206" s="23"/>
      <c r="D206" s="19">
        <f>SUM(E207:Q207)/R206</f>
        <v>0</v>
      </c>
      <c r="E206" s="20">
        <v>3</v>
      </c>
      <c r="F206" s="20">
        <v>1</v>
      </c>
      <c r="G206" s="20">
        <v>2</v>
      </c>
      <c r="H206" s="20">
        <v>2</v>
      </c>
      <c r="R206" s="15">
        <v>2</v>
      </c>
    </row>
    <row r="207" spans="1:18" x14ac:dyDescent="0.15">
      <c r="B207" s="30"/>
      <c r="C207" s="23"/>
      <c r="E207" s="21">
        <f>IF(E205&lt;E206,0,1)</f>
        <v>0</v>
      </c>
      <c r="F207" s="21">
        <f>IF(F205&lt;F206,0,1)</f>
        <v>0</v>
      </c>
      <c r="G207" s="21">
        <f>IF(G205&lt;G206,0,1)</f>
        <v>0</v>
      </c>
      <c r="H207" s="21">
        <f>IF(H205&lt;H206,0,1)</f>
        <v>0</v>
      </c>
    </row>
    <row r="208" spans="1:18" x14ac:dyDescent="0.15">
      <c r="B208" s="30"/>
      <c r="C208" s="23"/>
    </row>
    <row r="209" spans="1:18" x14ac:dyDescent="0.15">
      <c r="B209" s="30" t="s">
        <v>330</v>
      </c>
      <c r="C209" s="169" t="s">
        <v>706</v>
      </c>
      <c r="D209" s="18">
        <f>AVERAGE(E209:P209)</f>
        <v>0</v>
      </c>
      <c r="E209" s="13">
        <f>_Q43</f>
        <v>0</v>
      </c>
      <c r="F209" s="13">
        <f>_Q76</f>
        <v>0</v>
      </c>
      <c r="G209" s="13">
        <f>_Q187</f>
        <v>0</v>
      </c>
      <c r="H209" s="13">
        <f>_Q205</f>
        <v>0</v>
      </c>
    </row>
    <row r="210" spans="1:18" x14ac:dyDescent="0.15">
      <c r="A210" s="21">
        <f>IF(D210&gt;=1,1,0)</f>
        <v>0</v>
      </c>
      <c r="B210" s="30"/>
      <c r="C210" s="23"/>
      <c r="D210" s="19">
        <f>SUM(E211:Q211)/R210</f>
        <v>0</v>
      </c>
      <c r="E210" s="20">
        <v>2</v>
      </c>
      <c r="F210" s="20">
        <v>2</v>
      </c>
      <c r="G210" s="20">
        <v>2</v>
      </c>
      <c r="H210" s="20">
        <v>1</v>
      </c>
      <c r="R210" s="15">
        <v>2</v>
      </c>
    </row>
    <row r="211" spans="1:18" x14ac:dyDescent="0.15">
      <c r="B211" s="30"/>
      <c r="C211" s="23"/>
      <c r="E211" s="21">
        <f>IF(E209&lt;E210,0,1)</f>
        <v>0</v>
      </c>
      <c r="F211" s="21">
        <f>IF(F209&lt;F210,0,1)</f>
        <v>0</v>
      </c>
      <c r="G211" s="21">
        <f>IF(G209&lt;G210,0,1)</f>
        <v>0</v>
      </c>
      <c r="H211" s="21">
        <f>IF(H209&lt;H210,0,1)</f>
        <v>0</v>
      </c>
    </row>
    <row r="212" spans="1:18" x14ac:dyDescent="0.15">
      <c r="B212" s="30"/>
      <c r="C212" s="23"/>
    </row>
    <row r="213" spans="1:18" x14ac:dyDescent="0.15">
      <c r="B213" s="30" t="s">
        <v>331</v>
      </c>
      <c r="C213" s="169" t="s">
        <v>705</v>
      </c>
      <c r="D213" s="18">
        <f>AVERAGE(E213:P213)</f>
        <v>0</v>
      </c>
      <c r="E213" s="13">
        <f>_Q108</f>
        <v>0</v>
      </c>
      <c r="F213" s="13">
        <f>_Q150</f>
        <v>0</v>
      </c>
      <c r="G213" s="13">
        <f>_Q170</f>
        <v>0</v>
      </c>
      <c r="H213" s="13">
        <f>_Q186</f>
        <v>0</v>
      </c>
      <c r="I213" s="13">
        <f>_Q217</f>
        <v>0</v>
      </c>
    </row>
    <row r="214" spans="1:18" x14ac:dyDescent="0.15">
      <c r="A214" s="21">
        <f>IF(D214&gt;=1,1,0)</f>
        <v>0</v>
      </c>
      <c r="B214" s="30"/>
      <c r="C214" s="23"/>
      <c r="D214" s="19">
        <f>SUM(E215:Q215)/R214</f>
        <v>0</v>
      </c>
      <c r="E214" s="20">
        <v>2</v>
      </c>
      <c r="F214" s="20">
        <v>1</v>
      </c>
      <c r="G214" s="20">
        <v>2</v>
      </c>
      <c r="H214" s="20">
        <v>1</v>
      </c>
      <c r="I214" s="20">
        <v>2</v>
      </c>
      <c r="R214" s="15">
        <v>2</v>
      </c>
    </row>
    <row r="215" spans="1:18" x14ac:dyDescent="0.15">
      <c r="B215" s="31">
        <f>SUM(A191:A215)</f>
        <v>0</v>
      </c>
      <c r="C215" s="23" t="s">
        <v>354</v>
      </c>
      <c r="E215" s="21">
        <f>IF(E213&lt;E214,0,1)</f>
        <v>0</v>
      </c>
      <c r="F215" s="21">
        <f>IF(F213&lt;F214,0,1)</f>
        <v>0</v>
      </c>
      <c r="G215" s="21">
        <f>IF(G213&lt;G214,0,1)</f>
        <v>0</v>
      </c>
      <c r="H215" s="21">
        <f>IF(H213&lt;H214,0,1)</f>
        <v>0</v>
      </c>
      <c r="I215" s="21">
        <f>IF(I213&lt;I214,0,1)</f>
        <v>0</v>
      </c>
    </row>
    <row r="216" spans="1:18" x14ac:dyDescent="0.15">
      <c r="B216" s="112"/>
      <c r="C216" s="110"/>
      <c r="D216" s="109"/>
      <c r="E216" s="110"/>
      <c r="F216" s="110"/>
      <c r="G216" s="110"/>
      <c r="H216" s="110"/>
      <c r="I216" s="110"/>
      <c r="J216" s="110"/>
      <c r="K216" s="110"/>
      <c r="L216" s="110"/>
      <c r="M216" s="110"/>
      <c r="N216" s="110"/>
      <c r="O216" s="110"/>
      <c r="P216" s="110"/>
      <c r="Q216" s="110"/>
      <c r="R216" s="111"/>
    </row>
    <row r="218" spans="1:18" ht="16" x14ac:dyDescent="0.15">
      <c r="A218" s="22" t="s">
        <v>390</v>
      </c>
    </row>
    <row r="219" spans="1:18" x14ac:dyDescent="0.15">
      <c r="B219" s="112"/>
      <c r="C219" s="110"/>
      <c r="D219" s="109"/>
    </row>
    <row r="220" spans="1:18" x14ac:dyDescent="0.15">
      <c r="B220" s="97"/>
      <c r="C220" s="98" t="s">
        <v>410</v>
      </c>
      <c r="D220" s="14">
        <f>10*(_Q89+_Q44+_Q69+_Q49+_Q193+_Q165+_Q146+_Q185+_Q210+_Q57+_Q190+_Q25+_Q148+_Q158+_Q32+_Q37+_Q72+_Q17+_Q135+_Q101+_Q77+_Q5+_Q157+_Q79+_Q113+_Q13+_Q151+_Q4+_Q22+_Q127+_Q58+_Q196+_Q16+_Q2+_Q92+_Q200+_Q34+_Q83+_Q131+_Q107+_Q103+_Q48+_Q177+_Q133+_Q9+_Q194+_Q115+_Q85+_Q114+_Q120)/50</f>
        <v>0</v>
      </c>
    </row>
    <row r="221" spans="1:18" x14ac:dyDescent="0.15">
      <c r="B221" s="97"/>
      <c r="C221" s="98" t="s">
        <v>405</v>
      </c>
      <c r="D221" s="14">
        <f>10*(_Q149+_Q174+_Q138+_Q6+_Q202+_Q18+_Q8+_Q218+_Q28+_Q30+_Q42+_Q41+_Q61+_Q212+_Q214+_Q216+_Q118+_Q84+_Q199+_Q112+_Q140+_Q171+_Q207+_Q97+_Q159+_Q83+_Q188+_Q215+_Q180+_Q103+_Q34+_Q208+_Q161+_Q209+_Q201+_Q195)/36</f>
        <v>0</v>
      </c>
    </row>
    <row r="222" spans="1:18" x14ac:dyDescent="0.15">
      <c r="B222" s="97"/>
      <c r="C222" s="98" t="s">
        <v>173</v>
      </c>
      <c r="D222" s="14">
        <f>10*(_Q207+_Q140+_Q159+_Q199+_Q84+_Q171+_Q215+_Q42+_Q97+_Q30+_Q112)/11</f>
        <v>0</v>
      </c>
    </row>
    <row r="223" spans="1:18" x14ac:dyDescent="0.15">
      <c r="B223" s="97"/>
      <c r="C223" s="98" t="s">
        <v>174</v>
      </c>
      <c r="D223" s="14">
        <f>10*(_Q129+_Q99+_Q117+_Q208+_Q161+_Q101+_Q198+_Q9+_Q107+_Q180+_Q20+_Q209+_Q197+_Q152+_Q200+_Q212+_Q120+_Q22)/18</f>
        <v>0</v>
      </c>
    </row>
    <row r="224" spans="1:18" x14ac:dyDescent="0.15">
      <c r="B224" s="97"/>
      <c r="C224" s="98" t="s">
        <v>133</v>
      </c>
      <c r="D224" s="14">
        <f>10*(_Q145+_Q192+_Q66+_Q115+_Q14+_Q176+_Q168+_Q81+_Q125+_Q137+_Q105+_Q156)/12</f>
        <v>0</v>
      </c>
    </row>
    <row r="225" spans="1:11" x14ac:dyDescent="0.15">
      <c r="B225" s="97"/>
      <c r="C225" s="417" t="s">
        <v>411</v>
      </c>
      <c r="D225" s="14">
        <f>10*(_Q37+_Q58+_Q92+_Q3+_Q191+_Q164+_Q91+_Q172+_Q80+_Q135+_Q123+_Q104+_Q48+_Q133+_Q197+_Q136)/16</f>
        <v>0</v>
      </c>
    </row>
    <row r="226" spans="1:11" x14ac:dyDescent="0.15">
      <c r="B226" s="97"/>
      <c r="C226" s="98" t="s">
        <v>134</v>
      </c>
      <c r="D226" s="14">
        <f>10*(_Q184+_Q106+_Q95+_Q147+_Q116+_Q139+_Q177)/7</f>
        <v>0</v>
      </c>
    </row>
    <row r="227" spans="1:11" x14ac:dyDescent="0.15">
      <c r="B227" s="97"/>
      <c r="C227" s="98" t="s">
        <v>175</v>
      </c>
      <c r="D227" s="14">
        <f>10*(_Q122+_Q67+_Q102+_Q78+_Q90+_Q134)/6</f>
        <v>0</v>
      </c>
    </row>
    <row r="228" spans="1:11" x14ac:dyDescent="0.15">
      <c r="B228" s="97"/>
      <c r="C228" s="98" t="s">
        <v>176</v>
      </c>
      <c r="D228" s="14">
        <f>10*(_Q24+_Q16+_Q2+_Q15+_Q19+_Q17+_Q22+_Q31+_Q5+_Q7+_Q9+_Q23)/12</f>
        <v>0</v>
      </c>
    </row>
    <row r="229" spans="1:11" x14ac:dyDescent="0.15">
      <c r="B229" s="97"/>
      <c r="C229" s="98" t="s">
        <v>177</v>
      </c>
      <c r="D229" s="14">
        <f>10*(_Q143+_Q154+_Q79+_Q189+_Q162+_Q211+_Q2+_Q24+_Q131+_Q113+_Q134+_Q119)/12</f>
        <v>0</v>
      </c>
    </row>
    <row r="230" spans="1:11" x14ac:dyDescent="0.15">
      <c r="B230" s="97"/>
      <c r="C230" s="98" t="s">
        <v>304</v>
      </c>
      <c r="D230" s="14">
        <f>10*(SUM(E176:P176)+SUM(E192:P192)+SUM(E196:P196)+SUM(E200:P200)+SUM(E205:P205)+SUM(E209:P209)+SUM(E213:P213))/31</f>
        <v>0</v>
      </c>
    </row>
    <row r="231" spans="1:11" x14ac:dyDescent="0.15">
      <c r="B231" s="97"/>
      <c r="C231" s="98" t="s">
        <v>178</v>
      </c>
      <c r="D231" s="14">
        <f>10*(_Q39+_Q71+_Q82+_Q60+_Q94+_Q136+_Q15+_Q181+_Q172+_Q166+_Q183+_Q27+_Q144+_Q203)/14</f>
        <v>0</v>
      </c>
    </row>
    <row r="232" spans="1:11" x14ac:dyDescent="0.15">
      <c r="B232" s="112"/>
      <c r="C232" s="110"/>
      <c r="D232" s="109"/>
    </row>
    <row r="234" spans="1:11" ht="16" x14ac:dyDescent="0.15">
      <c r="A234" s="22" t="s">
        <v>332</v>
      </c>
    </row>
    <row r="235" spans="1:11" x14ac:dyDescent="0.15">
      <c r="B235" s="97" t="s">
        <v>312</v>
      </c>
      <c r="C235" s="98"/>
      <c r="D235" s="109"/>
      <c r="E235" s="110"/>
      <c r="F235" s="110"/>
      <c r="G235" s="110"/>
      <c r="H235" s="110"/>
      <c r="I235" s="110"/>
      <c r="J235" s="110"/>
      <c r="K235" s="110"/>
    </row>
    <row r="236" spans="1:11" x14ac:dyDescent="0.15">
      <c r="B236" s="97"/>
      <c r="C236" s="98" t="s">
        <v>303</v>
      </c>
      <c r="D236" s="18">
        <f>AVERAGE(D34,D38,D42,D46,D50,D54,D58,D62,D66,D70,D74,D78,D82,D86)</f>
        <v>0</v>
      </c>
    </row>
    <row r="237" spans="1:11" x14ac:dyDescent="0.15">
      <c r="B237" s="97"/>
      <c r="C237" s="98" t="s">
        <v>46</v>
      </c>
      <c r="D237" s="18">
        <f>10*(SUM(_Q6,_Q64,_Q74,_Q84,_Q85,_Q106,_Q107,_Q117,_Q118,_Q133,_Q141,_Q179,_Q180,_Q187,_Q191,_Q197,_Q209,_Q212,_Q217)/19)</f>
        <v>0</v>
      </c>
    </row>
    <row r="238" spans="1:11" x14ac:dyDescent="0.15">
      <c r="B238" s="97"/>
      <c r="C238" s="417" t="s">
        <v>741</v>
      </c>
      <c r="D238" s="19">
        <f>SUM(E36:P36)+SUM(E40:P40)+SUM(E44:P44)+SUM(E48:P48)+SUM(E52:P52)+SUM(E56:P56)+SUM(E60:P60)+SUM(E64:P64)+SUM(E68:P68)+SUM(E72:P72)+SUM(E76:P76)+SUM(E80:P80)+SUM(E84:P84)+SUM(E88:P88)</f>
        <v>0</v>
      </c>
    </row>
    <row r="239" spans="1:11" x14ac:dyDescent="0.15">
      <c r="B239" s="97"/>
      <c r="C239" s="98" t="s">
        <v>314</v>
      </c>
      <c r="D239" s="19">
        <f>(_Q11+_Q12+_Q21+_Q38+_Q47+_Q51+_Q52+_Q54+_Q63+_Q70+_Q75+_Q128+_Q130+_Q153+_Q155+_Q175+_Q178)/17*10</f>
        <v>0</v>
      </c>
    </row>
    <row r="240" spans="1:11" x14ac:dyDescent="0.15">
      <c r="A240" s="13" t="s">
        <v>9</v>
      </c>
      <c r="B240" s="97"/>
      <c r="C240" s="98" t="s">
        <v>314</v>
      </c>
      <c r="D240" s="19">
        <f>D239/30*100</f>
        <v>0</v>
      </c>
    </row>
    <row r="241" spans="2:11" x14ac:dyDescent="0.15">
      <c r="B241" s="97"/>
      <c r="C241" s="98"/>
    </row>
    <row r="242" spans="2:11" x14ac:dyDescent="0.15">
      <c r="B242" s="97"/>
      <c r="C242" s="98" t="s">
        <v>291</v>
      </c>
      <c r="D242" s="18">
        <f>AVERAGE(E242:P242)</f>
        <v>0</v>
      </c>
      <c r="E242" s="13">
        <f>_Q138</f>
        <v>0</v>
      </c>
      <c r="F242" s="13">
        <f>_Q149</f>
        <v>0</v>
      </c>
      <c r="G242" s="13">
        <f>_Q174</f>
        <v>0</v>
      </c>
      <c r="H242" s="13">
        <f>_Q202</f>
        <v>0</v>
      </c>
    </row>
    <row r="243" spans="2:11" x14ac:dyDescent="0.15">
      <c r="B243" s="97"/>
      <c r="C243" s="98"/>
      <c r="D243" s="19">
        <f>AVERAGE(E244:P244)</f>
        <v>0</v>
      </c>
      <c r="E243" s="20">
        <v>2</v>
      </c>
      <c r="F243" s="20">
        <v>2</v>
      </c>
      <c r="G243" s="20">
        <v>2</v>
      </c>
      <c r="H243" s="20">
        <v>2</v>
      </c>
    </row>
    <row r="244" spans="2:11" x14ac:dyDescent="0.15">
      <c r="B244" s="97"/>
      <c r="C244" s="98"/>
      <c r="D244" s="18"/>
      <c r="E244" s="21">
        <f>IF(E242&lt;E243,0,1)</f>
        <v>0</v>
      </c>
      <c r="F244" s="21">
        <f>IF(F242&lt;F243,0,1)</f>
        <v>0</v>
      </c>
      <c r="G244" s="21">
        <f>IF(G242&lt;G243,0,1)</f>
        <v>0</v>
      </c>
      <c r="H244" s="21">
        <f>IF(H242&lt;H243,0,1)</f>
        <v>0</v>
      </c>
    </row>
    <row r="245" spans="2:11" x14ac:dyDescent="0.15">
      <c r="B245" s="97"/>
      <c r="C245" s="98"/>
    </row>
    <row r="246" spans="2:11" x14ac:dyDescent="0.15">
      <c r="B246" s="97"/>
      <c r="C246" s="98" t="s">
        <v>292</v>
      </c>
      <c r="D246" s="18">
        <f>AVERAGE(E246:P246)</f>
        <v>0</v>
      </c>
      <c r="E246" s="13">
        <f>_Q8</f>
        <v>0</v>
      </c>
      <c r="F246" s="13">
        <f>_Q28</f>
        <v>0</v>
      </c>
      <c r="G246" s="13">
        <f>_Q112</f>
        <v>0</v>
      </c>
      <c r="H246" s="13">
        <f>_Q208</f>
        <v>0</v>
      </c>
      <c r="I246" s="13">
        <f>_Q212</f>
        <v>0</v>
      </c>
      <c r="J246" s="13">
        <f>_Q214</f>
        <v>0</v>
      </c>
      <c r="K246" s="13">
        <f>_Q215</f>
        <v>0</v>
      </c>
    </row>
    <row r="247" spans="2:11" x14ac:dyDescent="0.15">
      <c r="B247" s="97"/>
      <c r="C247" s="98"/>
      <c r="D247" s="19">
        <f>AVERAGE(E248:P248)</f>
        <v>0</v>
      </c>
      <c r="E247" s="20">
        <v>2</v>
      </c>
      <c r="F247" s="20">
        <v>3</v>
      </c>
      <c r="G247" s="20">
        <v>2</v>
      </c>
      <c r="H247" s="20">
        <v>3</v>
      </c>
      <c r="I247" s="20">
        <v>3</v>
      </c>
      <c r="J247" s="20">
        <v>3</v>
      </c>
      <c r="K247" s="20">
        <v>2</v>
      </c>
    </row>
    <row r="248" spans="2:11" x14ac:dyDescent="0.15">
      <c r="B248" s="97"/>
      <c r="C248" s="98"/>
      <c r="D248" s="18"/>
      <c r="E248" s="21">
        <f t="shared" ref="E248:J248" si="27">IF(E246&lt;E247,0,1)</f>
        <v>0</v>
      </c>
      <c r="F248" s="21">
        <f t="shared" si="27"/>
        <v>0</v>
      </c>
      <c r="G248" s="21">
        <f t="shared" si="27"/>
        <v>0</v>
      </c>
      <c r="H248" s="21">
        <f t="shared" si="27"/>
        <v>0</v>
      </c>
      <c r="I248" s="21">
        <f t="shared" si="27"/>
        <v>0</v>
      </c>
      <c r="J248" s="21">
        <f t="shared" si="27"/>
        <v>0</v>
      </c>
      <c r="K248" s="21">
        <f>IF(K246&lt;K247,0,1)</f>
        <v>0</v>
      </c>
    </row>
    <row r="249" spans="2:11" x14ac:dyDescent="0.15">
      <c r="B249" s="97"/>
      <c r="C249" s="98"/>
    </row>
    <row r="250" spans="2:11" x14ac:dyDescent="0.15">
      <c r="B250" s="97"/>
      <c r="C250" s="98" t="s">
        <v>304</v>
      </c>
      <c r="D250" s="18">
        <f>(SUM(E176:P176)+SUM(E192:P192)+SUM(E196:P196)+SUM(E200:P200)+SUM(E205:P205)+SUM(E209:P209)+SUM(E213:P213))/31</f>
        <v>0</v>
      </c>
    </row>
    <row r="251" spans="2:11" x14ac:dyDescent="0.15">
      <c r="B251" s="97"/>
      <c r="C251" s="98"/>
      <c r="D251" s="128">
        <f>(SUM(E178:P178)+SUM(E194:P194)+SUM(E198:P198)+SUM(E202:P202)+SUM(E207:P207)+SUM(E211:P211)+SUM(E215:P215))</f>
        <v>0</v>
      </c>
    </row>
    <row r="252" spans="2:11" x14ac:dyDescent="0.15">
      <c r="B252" s="97"/>
      <c r="C252" s="98"/>
      <c r="D252" s="137">
        <f>(SUM(E178:P178)+SUM(E194:P194)+SUM(E198:P198)+SUM(E202:P202)+SUM(E207:P207)+SUM(E211:P211)+SUM(E215:P215))/31*100</f>
        <v>0</v>
      </c>
    </row>
    <row r="253" spans="2:11" x14ac:dyDescent="0.15">
      <c r="B253" s="112"/>
      <c r="C253" s="110"/>
      <c r="D253" s="109"/>
      <c r="E253" s="110"/>
      <c r="F253" s="110"/>
      <c r="G253" s="110"/>
      <c r="H253" s="110"/>
      <c r="I253" s="110"/>
      <c r="J253" s="110"/>
      <c r="K253" s="110"/>
    </row>
    <row r="255" spans="2:11" x14ac:dyDescent="0.15">
      <c r="B255" s="97" t="s">
        <v>290</v>
      </c>
      <c r="C255" s="98"/>
      <c r="D255" s="109"/>
      <c r="E255" s="110"/>
      <c r="F255" s="110"/>
      <c r="G255" s="110"/>
      <c r="H255" s="110"/>
      <c r="I255" s="110"/>
      <c r="J255" s="110"/>
      <c r="K255" s="110"/>
    </row>
    <row r="256" spans="2:11" x14ac:dyDescent="0.15">
      <c r="B256" s="97"/>
      <c r="C256" s="98" t="s">
        <v>293</v>
      </c>
      <c r="D256" s="18">
        <f>AVERAGE(E256:P256)</f>
        <v>0</v>
      </c>
      <c r="E256" s="13">
        <f>_Q6</f>
        <v>0</v>
      </c>
      <c r="F256" s="13">
        <f>_Q18</f>
        <v>0</v>
      </c>
      <c r="G256" s="13">
        <f>_Q83</f>
        <v>0</v>
      </c>
      <c r="H256" s="13">
        <f>_Q97</f>
        <v>0</v>
      </c>
      <c r="I256" s="13">
        <f>_Q118</f>
        <v>0</v>
      </c>
      <c r="J256" s="13">
        <f>_Q188</f>
        <v>0</v>
      </c>
      <c r="K256" s="13">
        <f>_Q218</f>
        <v>0</v>
      </c>
    </row>
    <row r="257" spans="1:11" x14ac:dyDescent="0.15">
      <c r="B257" s="97"/>
      <c r="C257" s="98"/>
      <c r="D257" s="19">
        <f>AVERAGE(E258:P258)</f>
        <v>0</v>
      </c>
      <c r="E257" s="20">
        <v>2</v>
      </c>
      <c r="F257" s="20">
        <v>2</v>
      </c>
      <c r="G257" s="20">
        <v>3</v>
      </c>
      <c r="H257" s="20">
        <v>2</v>
      </c>
      <c r="I257" s="20">
        <v>1</v>
      </c>
      <c r="J257" s="20">
        <v>2</v>
      </c>
      <c r="K257" s="20">
        <v>3</v>
      </c>
    </row>
    <row r="258" spans="1:11" x14ac:dyDescent="0.15">
      <c r="B258" s="97"/>
      <c r="C258" s="98"/>
      <c r="D258" s="18"/>
      <c r="E258" s="21">
        <f>IF(E256&lt;E257,0,1)</f>
        <v>0</v>
      </c>
      <c r="F258" s="21">
        <f t="shared" ref="F258:K258" si="28">IF(F256&lt;F257,0,1)</f>
        <v>0</v>
      </c>
      <c r="G258" s="21">
        <f t="shared" si="28"/>
        <v>0</v>
      </c>
      <c r="H258" s="21">
        <f t="shared" si="28"/>
        <v>0</v>
      </c>
      <c r="I258" s="21">
        <f t="shared" si="28"/>
        <v>0</v>
      </c>
      <c r="J258" s="21">
        <f t="shared" si="28"/>
        <v>0</v>
      </c>
      <c r="K258" s="21">
        <f t="shared" si="28"/>
        <v>0</v>
      </c>
    </row>
    <row r="259" spans="1:11" x14ac:dyDescent="0.15">
      <c r="B259" s="97"/>
      <c r="C259" s="98"/>
    </row>
    <row r="260" spans="1:11" x14ac:dyDescent="0.15">
      <c r="B260" s="97"/>
      <c r="C260" s="98" t="s">
        <v>294</v>
      </c>
      <c r="D260" s="18">
        <f>AVERAGE(E260:P260)</f>
        <v>0</v>
      </c>
      <c r="E260" s="13">
        <f>_Q216</f>
        <v>0</v>
      </c>
    </row>
    <row r="261" spans="1:11" x14ac:dyDescent="0.15">
      <c r="B261" s="97"/>
      <c r="C261" s="98"/>
      <c r="D261" s="19">
        <f>AVERAGE(E262:P262)</f>
        <v>0</v>
      </c>
      <c r="E261" s="20">
        <v>2</v>
      </c>
    </row>
    <row r="262" spans="1:11" x14ac:dyDescent="0.15">
      <c r="B262" s="97"/>
      <c r="C262" s="98"/>
      <c r="D262" s="18"/>
      <c r="E262" s="21">
        <f>IF(E260&lt;E261,0,1)</f>
        <v>0</v>
      </c>
    </row>
    <row r="263" spans="1:11" x14ac:dyDescent="0.15">
      <c r="B263" s="97"/>
      <c r="C263" s="98"/>
    </row>
    <row r="264" spans="1:11" x14ac:dyDescent="0.15">
      <c r="B264" s="97"/>
      <c r="C264" s="98" t="s">
        <v>295</v>
      </c>
      <c r="D264" s="18">
        <f>AVERAGE(E264:P264)</f>
        <v>0</v>
      </c>
      <c r="E264" s="13">
        <f>_Q99</f>
        <v>0</v>
      </c>
      <c r="F264" s="13">
        <f>_Q112</f>
        <v>0</v>
      </c>
      <c r="G264" s="13">
        <f>_Q129</f>
        <v>0</v>
      </c>
      <c r="H264" s="13">
        <f>_Q208</f>
        <v>0</v>
      </c>
    </row>
    <row r="265" spans="1:11" x14ac:dyDescent="0.15">
      <c r="B265" s="97"/>
      <c r="C265" s="98"/>
      <c r="D265" s="19">
        <f>AVERAGE(E266:P266)</f>
        <v>0</v>
      </c>
      <c r="E265" s="20">
        <v>2</v>
      </c>
      <c r="F265" s="20">
        <v>2</v>
      </c>
      <c r="G265" s="20">
        <v>2</v>
      </c>
      <c r="H265" s="20">
        <v>3</v>
      </c>
    </row>
    <row r="266" spans="1:11" x14ac:dyDescent="0.15">
      <c r="B266" s="97"/>
      <c r="C266" s="98"/>
      <c r="D266" s="18"/>
      <c r="E266" s="21">
        <f>IF(E264&lt;E265,0,1)</f>
        <v>0</v>
      </c>
      <c r="F266" s="21">
        <f>IF(F264&lt;F265,0,1)</f>
        <v>0</v>
      </c>
      <c r="G266" s="21">
        <f>IF(G264&lt;G265,0,1)</f>
        <v>0</v>
      </c>
      <c r="H266" s="21">
        <f>IF(H264&lt;H265,0,1)</f>
        <v>0</v>
      </c>
    </row>
    <row r="267" spans="1:11" x14ac:dyDescent="0.15">
      <c r="B267" s="97"/>
      <c r="C267" s="98"/>
    </row>
    <row r="268" spans="1:11" x14ac:dyDescent="0.15">
      <c r="B268" s="97"/>
      <c r="C268" s="98" t="s">
        <v>296</v>
      </c>
      <c r="D268" s="18">
        <f>AVERAGE(E268:P268)</f>
        <v>0</v>
      </c>
      <c r="E268" s="13">
        <f>_Q84</f>
        <v>0</v>
      </c>
      <c r="F268" s="13">
        <f>_Q140</f>
        <v>0</v>
      </c>
      <c r="G268" s="13">
        <f>_Q159</f>
        <v>0</v>
      </c>
      <c r="H268" s="13">
        <f>_Q171</f>
        <v>0</v>
      </c>
      <c r="I268" s="13">
        <f>_Q199</f>
        <v>0</v>
      </c>
      <c r="J268" s="13">
        <f>_Q207</f>
        <v>0</v>
      </c>
      <c r="K268" s="13">
        <f>_Q215</f>
        <v>0</v>
      </c>
    </row>
    <row r="269" spans="1:11" x14ac:dyDescent="0.15">
      <c r="B269" s="97"/>
      <c r="C269" s="98"/>
      <c r="D269" s="19">
        <f>AVERAGE(E270:P270)</f>
        <v>0</v>
      </c>
      <c r="E269" s="20">
        <v>2</v>
      </c>
      <c r="F269" s="20">
        <v>2</v>
      </c>
      <c r="G269" s="20">
        <v>2</v>
      </c>
      <c r="H269" s="20">
        <v>2</v>
      </c>
      <c r="I269" s="20">
        <v>1</v>
      </c>
      <c r="J269" s="20">
        <v>2</v>
      </c>
      <c r="K269" s="20">
        <v>2</v>
      </c>
    </row>
    <row r="270" spans="1:11" x14ac:dyDescent="0.15">
      <c r="B270" s="97"/>
      <c r="C270" s="98"/>
      <c r="D270" s="18"/>
      <c r="E270" s="21">
        <f>IF(E268&lt;E269,0,1)</f>
        <v>0</v>
      </c>
      <c r="F270" s="21">
        <f t="shared" ref="F270:K270" si="29">IF(F268&lt;F269,0,1)</f>
        <v>0</v>
      </c>
      <c r="G270" s="21">
        <f t="shared" si="29"/>
        <v>0</v>
      </c>
      <c r="H270" s="21">
        <f t="shared" si="29"/>
        <v>0</v>
      </c>
      <c r="I270" s="21">
        <f t="shared" si="29"/>
        <v>0</v>
      </c>
      <c r="J270" s="21">
        <f t="shared" si="29"/>
        <v>0</v>
      </c>
      <c r="K270" s="21">
        <f t="shared" si="29"/>
        <v>0</v>
      </c>
    </row>
    <row r="271" spans="1:11" x14ac:dyDescent="0.15">
      <c r="B271" s="97"/>
      <c r="C271" s="98"/>
    </row>
    <row r="272" spans="1:11" x14ac:dyDescent="0.15">
      <c r="A272" s="489">
        <f>D256+D260+D264+D268+D272</f>
        <v>0</v>
      </c>
      <c r="B272" s="97"/>
      <c r="C272" s="417" t="s">
        <v>775</v>
      </c>
      <c r="D272" s="18">
        <f>AVERAGE(E272:P272)</f>
        <v>0</v>
      </c>
      <c r="E272" s="13">
        <f>_Q201</f>
        <v>0</v>
      </c>
    </row>
    <row r="273" spans="2:11" x14ac:dyDescent="0.15">
      <c r="B273" s="112"/>
      <c r="C273" s="110"/>
      <c r="D273" s="109"/>
      <c r="E273" s="110"/>
      <c r="F273" s="110"/>
      <c r="G273" s="110"/>
      <c r="H273" s="110"/>
      <c r="I273" s="110"/>
      <c r="J273" s="110"/>
      <c r="K273" s="110"/>
    </row>
    <row r="275" spans="2:11" x14ac:dyDescent="0.15">
      <c r="B275" s="97" t="s">
        <v>298</v>
      </c>
      <c r="C275" s="98"/>
      <c r="D275" s="109"/>
      <c r="E275" s="110"/>
      <c r="F275" s="110"/>
      <c r="G275" s="110"/>
      <c r="H275" s="110"/>
      <c r="I275" s="110"/>
      <c r="J275" s="110"/>
    </row>
    <row r="276" spans="2:11" x14ac:dyDescent="0.15">
      <c r="B276" s="97"/>
      <c r="C276" s="98" t="s">
        <v>3</v>
      </c>
      <c r="D276" s="18">
        <f>AVERAGE(E276:P276)</f>
        <v>0</v>
      </c>
      <c r="E276" s="13">
        <f>_Q21</f>
        <v>0</v>
      </c>
      <c r="F276" s="13">
        <f>_Q47</f>
        <v>0</v>
      </c>
      <c r="G276" s="13">
        <f>_Q52</f>
        <v>0</v>
      </c>
      <c r="H276" s="13">
        <f>_Q132</f>
        <v>0</v>
      </c>
      <c r="I276" s="13">
        <f>_Q155</f>
        <v>0</v>
      </c>
    </row>
    <row r="277" spans="2:11" x14ac:dyDescent="0.15">
      <c r="B277" s="97"/>
      <c r="C277" s="98"/>
      <c r="D277" s="19">
        <f>AVERAGE(E278:P278)</f>
        <v>0</v>
      </c>
      <c r="E277" s="20">
        <v>1</v>
      </c>
      <c r="F277" s="20">
        <v>5</v>
      </c>
      <c r="G277" s="20">
        <v>1</v>
      </c>
      <c r="H277" s="20">
        <v>8</v>
      </c>
      <c r="I277" s="20">
        <v>3</v>
      </c>
    </row>
    <row r="278" spans="2:11" x14ac:dyDescent="0.15">
      <c r="B278" s="97"/>
      <c r="C278" s="98"/>
      <c r="D278" s="18"/>
      <c r="E278" s="21">
        <f>IF(E276&lt;E277,0,1)</f>
        <v>0</v>
      </c>
      <c r="F278" s="21">
        <f>IF(F276&lt;F277,0,1)</f>
        <v>0</v>
      </c>
      <c r="G278" s="21">
        <f>IF(G276&lt;G277,0,1)</f>
        <v>0</v>
      </c>
      <c r="H278" s="21">
        <f>IF(H276&lt;H277,0,1)</f>
        <v>0</v>
      </c>
      <c r="I278" s="21">
        <f>IF(I276&lt;I277,0,1)</f>
        <v>0</v>
      </c>
    </row>
    <row r="279" spans="2:11" x14ac:dyDescent="0.15">
      <c r="B279" s="97"/>
      <c r="C279" s="98"/>
    </row>
    <row r="280" spans="2:11" x14ac:dyDescent="0.15">
      <c r="B280" s="97"/>
      <c r="C280" s="98" t="s">
        <v>300</v>
      </c>
      <c r="D280" s="18">
        <f>AVERAGE(E280:P280)</f>
        <v>0</v>
      </c>
      <c r="E280" s="13">
        <f>_Q29</f>
        <v>0</v>
      </c>
      <c r="F280" s="13">
        <f>_Q35</f>
        <v>0</v>
      </c>
      <c r="G280" s="13">
        <f>_Q54</f>
        <v>0</v>
      </c>
      <c r="H280" s="13">
        <f>_Q111</f>
        <v>0</v>
      </c>
      <c r="I280" s="13">
        <f>_Q124</f>
        <v>0</v>
      </c>
      <c r="J280" s="13">
        <f>_Q213</f>
        <v>0</v>
      </c>
    </row>
    <row r="281" spans="2:11" x14ac:dyDescent="0.15">
      <c r="B281" s="97"/>
      <c r="C281" s="98"/>
      <c r="D281" s="19">
        <f>AVERAGE(E282:P282)</f>
        <v>0</v>
      </c>
      <c r="E281" s="20">
        <v>5</v>
      </c>
      <c r="F281" s="20">
        <v>5</v>
      </c>
      <c r="G281" s="20">
        <v>6</v>
      </c>
      <c r="H281" s="20">
        <v>6</v>
      </c>
      <c r="I281" s="20">
        <v>7</v>
      </c>
      <c r="J281" s="20">
        <v>5</v>
      </c>
    </row>
    <row r="282" spans="2:11" x14ac:dyDescent="0.15">
      <c r="B282" s="97"/>
      <c r="C282" s="98"/>
      <c r="D282" s="18"/>
      <c r="E282" s="21">
        <f t="shared" ref="E282:J282" si="30">IF(E280&lt;E281,0,1)</f>
        <v>0</v>
      </c>
      <c r="F282" s="21">
        <f t="shared" si="30"/>
        <v>0</v>
      </c>
      <c r="G282" s="21">
        <f t="shared" si="30"/>
        <v>0</v>
      </c>
      <c r="H282" s="21">
        <f t="shared" si="30"/>
        <v>0</v>
      </c>
      <c r="I282" s="21">
        <f t="shared" si="30"/>
        <v>0</v>
      </c>
      <c r="J282" s="21">
        <f t="shared" si="30"/>
        <v>0</v>
      </c>
    </row>
    <row r="283" spans="2:11" x14ac:dyDescent="0.15">
      <c r="B283" s="97"/>
      <c r="C283" s="98"/>
      <c r="D283" s="515"/>
      <c r="E283" s="516"/>
      <c r="F283" s="516"/>
      <c r="G283" s="516"/>
      <c r="H283" s="516"/>
      <c r="I283" s="516"/>
      <c r="J283" s="516"/>
    </row>
    <row r="284" spans="2:11" x14ac:dyDescent="0.15">
      <c r="D284" s="18"/>
    </row>
    <row r="285" spans="2:11" x14ac:dyDescent="0.15">
      <c r="B285" s="97" t="s">
        <v>301</v>
      </c>
      <c r="C285" s="98"/>
      <c r="D285" s="109"/>
      <c r="E285" s="110"/>
      <c r="F285" s="110"/>
      <c r="G285" s="110"/>
      <c r="H285" s="110"/>
    </row>
    <row r="286" spans="2:11" x14ac:dyDescent="0.15">
      <c r="B286" s="97"/>
      <c r="C286" s="98" t="s">
        <v>39</v>
      </c>
      <c r="D286" s="18">
        <f>AVERAGE(E286:P286)</f>
        <v>0</v>
      </c>
      <c r="E286" s="13">
        <f>_Q84</f>
        <v>0</v>
      </c>
      <c r="F286" s="13">
        <f>_Q159</f>
        <v>0</v>
      </c>
    </row>
    <row r="287" spans="2:11" x14ac:dyDescent="0.15">
      <c r="B287" s="97"/>
      <c r="C287" s="98"/>
      <c r="D287" s="19">
        <f>AVERAGE(E288:P288)</f>
        <v>0</v>
      </c>
      <c r="E287" s="20">
        <v>2</v>
      </c>
      <c r="F287" s="20">
        <v>2</v>
      </c>
    </row>
    <row r="288" spans="2:11" x14ac:dyDescent="0.15">
      <c r="B288" s="97"/>
      <c r="C288" s="98"/>
      <c r="D288" s="18"/>
      <c r="E288" s="21">
        <f>IF(E286&lt;E287,0,1)</f>
        <v>0</v>
      </c>
      <c r="F288" s="21">
        <f>IF(F286&lt;F287,0,1)</f>
        <v>0</v>
      </c>
    </row>
    <row r="289" spans="2:7" x14ac:dyDescent="0.15">
      <c r="B289" s="97"/>
      <c r="C289" s="98"/>
    </row>
    <row r="290" spans="2:7" x14ac:dyDescent="0.15">
      <c r="B290" s="97"/>
      <c r="C290" s="98" t="s">
        <v>40</v>
      </c>
      <c r="D290" s="18">
        <f>AVERAGE(E290:P290)</f>
        <v>0</v>
      </c>
      <c r="E290" s="13">
        <f>_Q105</f>
        <v>0</v>
      </c>
      <c r="F290" s="13">
        <f>_Q137</f>
        <v>0</v>
      </c>
    </row>
    <row r="291" spans="2:7" x14ac:dyDescent="0.15">
      <c r="B291" s="97"/>
      <c r="C291" s="98"/>
      <c r="D291" s="19">
        <f>AVERAGE(E292:P292)</f>
        <v>0</v>
      </c>
      <c r="E291" s="20">
        <v>1</v>
      </c>
      <c r="F291" s="20">
        <v>1</v>
      </c>
    </row>
    <row r="292" spans="2:7" x14ac:dyDescent="0.15">
      <c r="B292" s="97"/>
      <c r="C292" s="98"/>
      <c r="D292" s="18"/>
      <c r="E292" s="21">
        <f>IF(E290&lt;E291,0,1)</f>
        <v>0</v>
      </c>
      <c r="F292" s="21">
        <f>IF(F290&lt;F291,0,1)</f>
        <v>0</v>
      </c>
    </row>
    <row r="293" spans="2:7" x14ac:dyDescent="0.15">
      <c r="B293" s="97"/>
      <c r="C293" s="98"/>
    </row>
    <row r="294" spans="2:7" x14ac:dyDescent="0.15">
      <c r="B294" s="97"/>
      <c r="C294" s="98" t="s">
        <v>302</v>
      </c>
      <c r="D294" s="18">
        <f>AVERAGE(E294:P294)</f>
        <v>0</v>
      </c>
      <c r="E294" s="13">
        <f>_Q86</f>
        <v>0</v>
      </c>
      <c r="F294" s="13">
        <f>_Q173</f>
        <v>0</v>
      </c>
    </row>
    <row r="295" spans="2:7" x14ac:dyDescent="0.15">
      <c r="B295" s="97"/>
      <c r="C295" s="98"/>
      <c r="D295" s="19">
        <f>AVERAGE(E296:P296)</f>
        <v>0</v>
      </c>
      <c r="E295" s="20">
        <v>1</v>
      </c>
      <c r="F295" s="20">
        <v>1</v>
      </c>
    </row>
    <row r="296" spans="2:7" x14ac:dyDescent="0.15">
      <c r="B296" s="97"/>
      <c r="C296" s="98"/>
      <c r="E296" s="21">
        <f>IF(E294&lt;E295,0,1)</f>
        <v>0</v>
      </c>
      <c r="F296" s="21">
        <f>IF(F294&lt;F295,0,1)</f>
        <v>0</v>
      </c>
    </row>
    <row r="297" spans="2:7" x14ac:dyDescent="0.15">
      <c r="B297" s="97"/>
      <c r="C297" s="98"/>
    </row>
    <row r="298" spans="2:7" x14ac:dyDescent="0.15">
      <c r="B298" s="97"/>
      <c r="C298" s="98" t="s">
        <v>41</v>
      </c>
      <c r="D298" s="18">
        <f>AVERAGE(E298:P298)</f>
        <v>0</v>
      </c>
      <c r="E298" s="13">
        <f>_Q170</f>
        <v>0</v>
      </c>
      <c r="F298" s="13">
        <f>_Q204</f>
        <v>0</v>
      </c>
      <c r="G298" s="13">
        <f>_Q186</f>
        <v>0</v>
      </c>
    </row>
    <row r="299" spans="2:7" x14ac:dyDescent="0.15">
      <c r="B299" s="97"/>
      <c r="C299" s="98"/>
      <c r="D299" s="19">
        <f>AVERAGE(E300:P300)</f>
        <v>0</v>
      </c>
      <c r="E299" s="20">
        <v>2</v>
      </c>
      <c r="F299" s="20">
        <v>1</v>
      </c>
      <c r="G299" s="13">
        <v>1</v>
      </c>
    </row>
    <row r="300" spans="2:7" x14ac:dyDescent="0.15">
      <c r="B300" s="97"/>
      <c r="C300" s="98"/>
      <c r="D300" s="18"/>
      <c r="E300" s="21">
        <f>IF(E298&lt;E299,0,1)</f>
        <v>0</v>
      </c>
      <c r="F300" s="21">
        <f>IF(F298&lt;F299,0,1)</f>
        <v>0</v>
      </c>
      <c r="G300" s="21">
        <f>IF(G298&lt;G299,0,1)</f>
        <v>0</v>
      </c>
    </row>
    <row r="301" spans="2:7" x14ac:dyDescent="0.15">
      <c r="B301" s="97"/>
      <c r="C301" s="98"/>
    </row>
    <row r="302" spans="2:7" x14ac:dyDescent="0.15">
      <c r="B302" s="97"/>
      <c r="C302" s="98" t="s">
        <v>313</v>
      </c>
      <c r="D302" s="18">
        <f>AVERAGE(E302:P302)</f>
        <v>0</v>
      </c>
      <c r="E302" s="13">
        <f>_Q75</f>
        <v>0</v>
      </c>
    </row>
    <row r="303" spans="2:7" x14ac:dyDescent="0.15">
      <c r="B303" s="97"/>
      <c r="C303" s="98"/>
      <c r="D303" s="19">
        <f>AVERAGE(E304:P304)</f>
        <v>0</v>
      </c>
      <c r="E303" s="20">
        <v>7</v>
      </c>
      <c r="F303" s="20"/>
    </row>
    <row r="304" spans="2:7" x14ac:dyDescent="0.15">
      <c r="B304" s="97"/>
      <c r="C304" s="98"/>
      <c r="E304" s="21">
        <f>IF(E302&lt;E303,0,1)</f>
        <v>0</v>
      </c>
    </row>
    <row r="305" spans="2:8" x14ac:dyDescent="0.15">
      <c r="B305" s="97"/>
      <c r="C305" s="98"/>
      <c r="E305" s="21"/>
    </row>
    <row r="306" spans="2:8" x14ac:dyDescent="0.15">
      <c r="B306" s="97"/>
      <c r="C306" s="99" t="s">
        <v>42</v>
      </c>
      <c r="D306" s="18">
        <f>SUM(D286+D290+D294+D298+D302)/5</f>
        <v>0</v>
      </c>
      <c r="E306" s="28" t="s">
        <v>315</v>
      </c>
    </row>
    <row r="307" spans="2:8" x14ac:dyDescent="0.15">
      <c r="B307" s="97"/>
      <c r="C307" s="98"/>
      <c r="D307" s="24">
        <f>SUM(E288:F288)+SUM(E292:F292)+SUM(E296:F296)+SUM(E300:G300)+E304</f>
        <v>0</v>
      </c>
      <c r="E307" s="21" t="s">
        <v>316</v>
      </c>
    </row>
    <row r="308" spans="2:8" x14ac:dyDescent="0.15">
      <c r="B308" s="97"/>
      <c r="C308" s="98"/>
    </row>
    <row r="309" spans="2:8" x14ac:dyDescent="0.15">
      <c r="B309" s="97"/>
      <c r="C309" s="98"/>
    </row>
    <row r="310" spans="2:8" x14ac:dyDescent="0.15">
      <c r="B310" s="97"/>
      <c r="C310" s="98" t="s">
        <v>71</v>
      </c>
      <c r="D310" s="127">
        <f>AVERAGE(E310:H310)</f>
        <v>0</v>
      </c>
      <c r="E310" s="74">
        <f>_Q12</f>
        <v>0</v>
      </c>
      <c r="F310" s="13">
        <f>_Q21</f>
        <v>0</v>
      </c>
      <c r="G310" s="13">
        <f>_Q38</f>
        <v>0</v>
      </c>
      <c r="H310" s="13">
        <f>_Q75</f>
        <v>0</v>
      </c>
    </row>
    <row r="311" spans="2:8" x14ac:dyDescent="0.15">
      <c r="B311" s="112"/>
      <c r="C311" s="110"/>
      <c r="D311" s="656">
        <f>10*(AVERAGE(E310:H310))</f>
        <v>0</v>
      </c>
      <c r="E311" s="20">
        <v>3</v>
      </c>
      <c r="F311" s="20">
        <v>1</v>
      </c>
      <c r="G311" s="20">
        <v>1</v>
      </c>
      <c r="H311" s="20">
        <v>7</v>
      </c>
    </row>
    <row r="312" spans="2:8" x14ac:dyDescent="0.15">
      <c r="B312" s="112"/>
      <c r="C312" s="110"/>
      <c r="D312" s="128">
        <f>SUM(E312:H312)</f>
        <v>0</v>
      </c>
      <c r="E312" s="129">
        <f>IF(E310&lt;E311,0,1)</f>
        <v>0</v>
      </c>
      <c r="F312" s="129">
        <f>IF(F310&lt;F311,0,1)</f>
        <v>0</v>
      </c>
      <c r="G312" s="129">
        <f>IF(G310&lt;G311,0,1)</f>
        <v>0</v>
      </c>
      <c r="H312" s="129">
        <f>IF(H310&lt;H311,0,1)</f>
        <v>0</v>
      </c>
    </row>
    <row r="313" spans="2:8" x14ac:dyDescent="0.15">
      <c r="B313" s="112"/>
      <c r="C313" s="110"/>
      <c r="D313" s="109"/>
      <c r="E313" s="110"/>
      <c r="F313" s="110"/>
      <c r="G313" s="110"/>
      <c r="H313" s="110"/>
    </row>
    <row r="314" spans="2:8" ht="13" customHeight="1" x14ac:dyDescent="0.15">
      <c r="G314" s="4"/>
    </row>
    <row r="315" spans="2:8" ht="29" thickBot="1" x14ac:dyDescent="0.2">
      <c r="B315" s="517"/>
      <c r="C315" s="529" t="s">
        <v>317</v>
      </c>
      <c r="D315" s="530" t="str">
        <f>IF(Questions!$B$3="","Test-taker",Questions!$B$3)</f>
        <v>Test-taker</v>
      </c>
      <c r="E315" s="534" t="s">
        <v>4</v>
      </c>
      <c r="F315" s="531" t="s">
        <v>10</v>
      </c>
      <c r="G315" s="535" t="s">
        <v>821</v>
      </c>
      <c r="H315" s="531" t="s">
        <v>11</v>
      </c>
    </row>
    <row r="316" spans="2:8" x14ac:dyDescent="0.15">
      <c r="B316" s="517"/>
      <c r="C316" s="609" t="s">
        <v>700</v>
      </c>
      <c r="D316" s="610"/>
      <c r="E316" s="611"/>
      <c r="F316" s="611"/>
      <c r="G316" s="660"/>
      <c r="H316" s="612"/>
    </row>
    <row r="317" spans="2:8" x14ac:dyDescent="0.15">
      <c r="B317" s="517"/>
      <c r="C317" s="613" t="str">
        <f>C34</f>
        <v>Memory Problems</v>
      </c>
      <c r="D317" s="614">
        <f>D34*10</f>
        <v>0</v>
      </c>
      <c r="E317" s="615">
        <v>18</v>
      </c>
      <c r="F317" s="615">
        <v>62.28</v>
      </c>
      <c r="G317" s="615">
        <v>43.37</v>
      </c>
      <c r="H317" s="616">
        <v>27.5</v>
      </c>
    </row>
    <row r="318" spans="2:8" x14ac:dyDescent="0.15">
      <c r="B318" s="517"/>
      <c r="C318" s="613" t="str">
        <f>C38</f>
        <v>Depersonalization</v>
      </c>
      <c r="D318" s="614">
        <f>D38*10</f>
        <v>0</v>
      </c>
      <c r="E318" s="615">
        <v>8</v>
      </c>
      <c r="F318" s="615">
        <v>53.37</v>
      </c>
      <c r="G318" s="615">
        <v>40.1</v>
      </c>
      <c r="H318" s="616">
        <v>11.25</v>
      </c>
    </row>
    <row r="319" spans="2:8" x14ac:dyDescent="0.15">
      <c r="B319" s="517"/>
      <c r="C319" s="613" t="str">
        <f>C42</f>
        <v>Derealization</v>
      </c>
      <c r="D319" s="614">
        <f>D42*10</f>
        <v>0</v>
      </c>
      <c r="E319" s="615">
        <v>7</v>
      </c>
      <c r="F319" s="615">
        <v>45.24</v>
      </c>
      <c r="G319" s="615">
        <v>28.16</v>
      </c>
      <c r="H319" s="616">
        <v>8.69</v>
      </c>
    </row>
    <row r="320" spans="2:8" x14ac:dyDescent="0.15">
      <c r="B320" s="517"/>
      <c r="C320" s="613" t="str">
        <f>C46</f>
        <v>Flashbacks</v>
      </c>
      <c r="D320" s="614">
        <f>D46*10</f>
        <v>0</v>
      </c>
      <c r="E320" s="615">
        <v>10</v>
      </c>
      <c r="F320" s="615">
        <v>53.31</v>
      </c>
      <c r="G320" s="615">
        <v>37.19</v>
      </c>
      <c r="H320" s="616">
        <v>23.04</v>
      </c>
    </row>
    <row r="321" spans="2:8" x14ac:dyDescent="0.15">
      <c r="B321" s="517"/>
      <c r="C321" s="613" t="str">
        <f>C50</f>
        <v>Somatoform Symptoms</v>
      </c>
      <c r="D321" s="614">
        <f>D50*10</f>
        <v>0</v>
      </c>
      <c r="E321" s="615">
        <v>2</v>
      </c>
      <c r="F321" s="615">
        <v>24.67</v>
      </c>
      <c r="G321" s="615">
        <v>11.15</v>
      </c>
      <c r="H321" s="616">
        <v>4.29</v>
      </c>
    </row>
    <row r="322" spans="2:8" x14ac:dyDescent="0.15">
      <c r="B322" s="517"/>
      <c r="C322" s="613" t="str">
        <f>C54</f>
        <v>Trance</v>
      </c>
      <c r="D322" s="614">
        <f>D54*10</f>
        <v>0</v>
      </c>
      <c r="E322" s="615">
        <v>8</v>
      </c>
      <c r="F322" s="615">
        <v>48.05</v>
      </c>
      <c r="G322" s="615">
        <v>28.79</v>
      </c>
      <c r="H322" s="616">
        <v>15.71</v>
      </c>
    </row>
    <row r="323" spans="2:8" x14ac:dyDescent="0.15">
      <c r="B323" s="517"/>
      <c r="C323" s="613"/>
      <c r="D323" s="614"/>
      <c r="E323" s="615"/>
      <c r="F323" s="615"/>
      <c r="G323" s="615"/>
      <c r="H323" s="616"/>
    </row>
    <row r="324" spans="2:8" x14ac:dyDescent="0.15">
      <c r="B324" s="517"/>
      <c r="C324" s="617" t="s">
        <v>701</v>
      </c>
      <c r="D324" s="614"/>
      <c r="E324" s="615"/>
      <c r="F324" s="615"/>
      <c r="G324" s="615"/>
      <c r="H324" s="616"/>
    </row>
    <row r="325" spans="2:8" x14ac:dyDescent="0.15">
      <c r="B325" s="517"/>
      <c r="C325" s="613" t="str">
        <f>C144</f>
        <v>Child Voices</v>
      </c>
      <c r="D325" s="614">
        <f>D144*10</f>
        <v>0</v>
      </c>
      <c r="E325" s="615">
        <v>3</v>
      </c>
      <c r="F325" s="615">
        <v>52.2</v>
      </c>
      <c r="G325" s="615">
        <v>27.08</v>
      </c>
      <c r="H325" s="616">
        <v>0.95</v>
      </c>
    </row>
    <row r="326" spans="2:8" x14ac:dyDescent="0.15">
      <c r="B326" s="517"/>
      <c r="C326" s="613" t="str">
        <f>C148</f>
        <v>Voices / Internal Struggle</v>
      </c>
      <c r="D326" s="618">
        <f>D148*10</f>
        <v>0</v>
      </c>
      <c r="E326" s="615">
        <v>8</v>
      </c>
      <c r="F326" s="615">
        <v>60.73</v>
      </c>
      <c r="G326" s="615">
        <v>38.840000000000003</v>
      </c>
      <c r="H326" s="616">
        <v>13.25</v>
      </c>
    </row>
    <row r="327" spans="2:8" x14ac:dyDescent="0.15">
      <c r="B327" s="517"/>
      <c r="C327" s="613" t="str">
        <f>C152</f>
        <v>Persecutory Voices</v>
      </c>
      <c r="D327" s="614">
        <f>D152*10</f>
        <v>0</v>
      </c>
      <c r="E327" s="615">
        <v>4</v>
      </c>
      <c r="F327" s="615">
        <v>54.78</v>
      </c>
      <c r="G327" s="615">
        <v>38.75</v>
      </c>
      <c r="H327" s="616">
        <v>4.8600000000000003</v>
      </c>
    </row>
    <row r="328" spans="2:8" x14ac:dyDescent="0.15">
      <c r="B328" s="517"/>
      <c r="C328" s="613" t="str">
        <f>C156</f>
        <v>Speech Insertion</v>
      </c>
      <c r="D328" s="614">
        <f>D156*10</f>
        <v>0</v>
      </c>
      <c r="E328" s="615">
        <v>5</v>
      </c>
      <c r="F328" s="615">
        <v>55.45</v>
      </c>
      <c r="G328" s="615">
        <v>19.03</v>
      </c>
      <c r="H328" s="616">
        <v>1.9</v>
      </c>
    </row>
    <row r="329" spans="2:8" x14ac:dyDescent="0.15">
      <c r="B329" s="517"/>
      <c r="C329" s="613" t="str">
        <f>C160</f>
        <v>Thought Insertion</v>
      </c>
      <c r="D329" s="614">
        <f>D160*10</f>
        <v>0</v>
      </c>
      <c r="E329" s="615">
        <v>14</v>
      </c>
      <c r="F329" s="615">
        <v>63.85</v>
      </c>
      <c r="G329" s="615">
        <v>43.08</v>
      </c>
      <c r="H329" s="616">
        <v>23</v>
      </c>
    </row>
    <row r="330" spans="2:8" x14ac:dyDescent="0.15">
      <c r="B330" s="517"/>
      <c r="C330" s="613" t="str">
        <f>C164</f>
        <v>'Made' / Intrusive Emotions</v>
      </c>
      <c r="D330" s="614">
        <f>D164*10</f>
        <v>0</v>
      </c>
      <c r="E330" s="615">
        <v>17</v>
      </c>
      <c r="F330" s="615">
        <v>68.12</v>
      </c>
      <c r="G330" s="615">
        <v>41.79</v>
      </c>
      <c r="H330" s="616">
        <v>21.12</v>
      </c>
    </row>
    <row r="331" spans="2:8" x14ac:dyDescent="0.15">
      <c r="B331" s="517"/>
      <c r="C331" s="613" t="str">
        <f>C168</f>
        <v>'Made' / Intrusive Impulses</v>
      </c>
      <c r="D331" s="614">
        <f>D168*10</f>
        <v>0</v>
      </c>
      <c r="E331" s="615">
        <v>6</v>
      </c>
      <c r="F331" s="615">
        <v>54.96</v>
      </c>
      <c r="G331" s="615">
        <v>36.81</v>
      </c>
      <c r="H331" s="616">
        <v>6.19</v>
      </c>
    </row>
    <row r="332" spans="2:8" x14ac:dyDescent="0.15">
      <c r="B332" s="517"/>
      <c r="C332" s="613" t="str">
        <f>C172</f>
        <v>'Made' / Intrusive Actions</v>
      </c>
      <c r="D332" s="614">
        <f>D172*10</f>
        <v>0</v>
      </c>
      <c r="E332" s="615">
        <v>7</v>
      </c>
      <c r="F332" s="615">
        <v>60.79</v>
      </c>
      <c r="G332" s="615">
        <v>31.94</v>
      </c>
      <c r="H332" s="616">
        <v>8.89</v>
      </c>
    </row>
    <row r="333" spans="2:8" x14ac:dyDescent="0.15">
      <c r="B333" s="517"/>
      <c r="C333" s="613" t="str">
        <f>C176</f>
        <v>Temporary Loss of Knowledge</v>
      </c>
      <c r="D333" s="614">
        <f>D176*10</f>
        <v>0</v>
      </c>
      <c r="E333" s="615">
        <v>4</v>
      </c>
      <c r="F333" s="615">
        <v>40.24</v>
      </c>
      <c r="G333" s="615">
        <v>8.83</v>
      </c>
      <c r="H333" s="616">
        <v>6</v>
      </c>
    </row>
    <row r="334" spans="2:8" x14ac:dyDescent="0.15">
      <c r="B334" s="517"/>
      <c r="C334" s="613" t="str">
        <f>C70</f>
        <v>Experiences of Self-Alteration</v>
      </c>
      <c r="D334" s="614">
        <f>D70*10</f>
        <v>0</v>
      </c>
      <c r="E334" s="615">
        <v>5</v>
      </c>
      <c r="F334" s="615">
        <v>48.48</v>
      </c>
      <c r="G334" s="615">
        <v>25</v>
      </c>
      <c r="H334" s="616">
        <v>6.85</v>
      </c>
    </row>
    <row r="335" spans="2:8" x14ac:dyDescent="0.15">
      <c r="B335" s="517"/>
      <c r="C335" s="613" t="str">
        <f>C184</f>
        <v>Puzzlement about Oneself</v>
      </c>
      <c r="D335" s="614">
        <f>D184*10</f>
        <v>0</v>
      </c>
      <c r="E335" s="615">
        <v>18</v>
      </c>
      <c r="F335" s="615">
        <v>70.790000000000006</v>
      </c>
      <c r="G335" s="615">
        <v>42.97</v>
      </c>
      <c r="H335" s="616">
        <v>28.66</v>
      </c>
    </row>
    <row r="336" spans="2:8" x14ac:dyDescent="0.15">
      <c r="B336" s="517"/>
      <c r="C336" s="613"/>
      <c r="D336" s="614"/>
      <c r="E336" s="615"/>
      <c r="F336" s="615"/>
      <c r="G336" s="615"/>
      <c r="H336" s="616"/>
    </row>
    <row r="337" spans="2:15" x14ac:dyDescent="0.15">
      <c r="B337" s="517"/>
      <c r="C337" s="617" t="s">
        <v>702</v>
      </c>
      <c r="D337" s="614"/>
      <c r="E337" s="615"/>
      <c r="F337" s="615"/>
      <c r="G337" s="615"/>
      <c r="H337" s="616"/>
    </row>
    <row r="338" spans="2:15" x14ac:dyDescent="0.15">
      <c r="B338" s="517"/>
      <c r="C338" s="613" t="str">
        <f>C192</f>
        <v>Time Loss</v>
      </c>
      <c r="D338" s="614">
        <f>D192*10</f>
        <v>0</v>
      </c>
      <c r="E338" s="615">
        <v>6</v>
      </c>
      <c r="F338" s="615">
        <v>57.07</v>
      </c>
      <c r="G338" s="615">
        <v>19.27</v>
      </c>
      <c r="H338" s="616">
        <v>10.54</v>
      </c>
    </row>
    <row r="339" spans="2:15" x14ac:dyDescent="0.15">
      <c r="B339" s="517"/>
      <c r="C339" s="613" t="str">
        <f>C196</f>
        <v>"Coming to"</v>
      </c>
      <c r="D339" s="614">
        <f>D196*10</f>
        <v>0</v>
      </c>
      <c r="E339" s="615">
        <v>1</v>
      </c>
      <c r="F339" s="615">
        <v>38.11</v>
      </c>
      <c r="G339" s="615">
        <v>4.2699999999999996</v>
      </c>
      <c r="H339" s="616">
        <v>4.29</v>
      </c>
    </row>
    <row r="340" spans="2:15" x14ac:dyDescent="0.15">
      <c r="B340" s="517"/>
      <c r="C340" s="613" t="str">
        <f>C200</f>
        <v>Fugues</v>
      </c>
      <c r="D340" s="614">
        <f>D200*10</f>
        <v>0</v>
      </c>
      <c r="E340" s="615">
        <v>1</v>
      </c>
      <c r="F340" s="615">
        <v>34.15</v>
      </c>
      <c r="G340" s="615">
        <v>2.5</v>
      </c>
      <c r="H340" s="616">
        <v>2.29</v>
      </c>
    </row>
    <row r="341" spans="2:15" x14ac:dyDescent="0.15">
      <c r="B341" s="517"/>
      <c r="C341" s="613" t="str">
        <f>C205</f>
        <v>Being Told of Disremembered Actions</v>
      </c>
      <c r="D341" s="614">
        <f>D205*10</f>
        <v>0</v>
      </c>
      <c r="E341" s="615">
        <v>4</v>
      </c>
      <c r="F341" s="615">
        <v>43.72</v>
      </c>
      <c r="G341" s="615">
        <v>5.2</v>
      </c>
      <c r="H341" s="616">
        <v>3.75</v>
      </c>
    </row>
    <row r="342" spans="2:15" x14ac:dyDescent="0.15">
      <c r="B342" s="517"/>
      <c r="C342" s="613" t="str">
        <f>C209</f>
        <v>Finding Objects Among Possessions</v>
      </c>
      <c r="D342" s="614">
        <f>D209*10</f>
        <v>0</v>
      </c>
      <c r="E342" s="615">
        <v>1</v>
      </c>
      <c r="F342" s="615">
        <v>34.450000000000003</v>
      </c>
      <c r="G342" s="615">
        <v>1.88</v>
      </c>
      <c r="H342" s="616">
        <v>2.14</v>
      </c>
    </row>
    <row r="343" spans="2:15" ht="14" thickBot="1" x14ac:dyDescent="0.2">
      <c r="B343" s="517"/>
      <c r="C343" s="619" t="str">
        <f>C213</f>
        <v>Finding Evidence of One's Actions</v>
      </c>
      <c r="D343" s="620">
        <f>D213*10</f>
        <v>0</v>
      </c>
      <c r="E343" s="621">
        <v>1</v>
      </c>
      <c r="F343" s="621">
        <v>30.1</v>
      </c>
      <c r="G343" s="621">
        <v>4.25</v>
      </c>
      <c r="H343" s="622">
        <v>1.43</v>
      </c>
    </row>
    <row r="346" spans="2:15" ht="13" customHeight="1" x14ac:dyDescent="0.15">
      <c r="G346" s="4"/>
    </row>
    <row r="347" spans="2:15" ht="29" thickBot="1" x14ac:dyDescent="0.2">
      <c r="B347" s="517"/>
      <c r="C347" s="529" t="s">
        <v>761</v>
      </c>
      <c r="D347" s="530" t="str">
        <f>IF(Questions!$B$3="","Test-taker",Questions!$B$3)</f>
        <v>Test-taker</v>
      </c>
      <c r="E347" s="534" t="s">
        <v>4</v>
      </c>
      <c r="F347" s="531" t="s">
        <v>10</v>
      </c>
      <c r="G347" s="535" t="s">
        <v>821</v>
      </c>
      <c r="H347" s="531" t="s">
        <v>11</v>
      </c>
    </row>
    <row r="348" spans="2:15" x14ac:dyDescent="0.15">
      <c r="B348" s="517"/>
      <c r="C348" s="623" t="s">
        <v>774</v>
      </c>
      <c r="D348" s="610"/>
      <c r="E348" s="611"/>
      <c r="F348" s="611"/>
      <c r="G348" s="611"/>
      <c r="H348" s="612"/>
      <c r="J348" s="175"/>
    </row>
    <row r="349" spans="2:15" x14ac:dyDescent="0.15">
      <c r="B349" s="537">
        <f>IF(D349&gt;H349,1,0)</f>
        <v>1</v>
      </c>
      <c r="C349" s="613" t="str">
        <f>C11</f>
        <v>Defensiveness / Minimization</v>
      </c>
      <c r="D349" s="614">
        <f>D11/7*100</f>
        <v>142.85714285714286</v>
      </c>
      <c r="E349" s="615">
        <v>91</v>
      </c>
      <c r="F349" s="474">
        <v>47.36</v>
      </c>
      <c r="G349" s="615">
        <v>70.98</v>
      </c>
      <c r="H349" s="616">
        <v>82.74</v>
      </c>
      <c r="I349" s="414">
        <f>IF(D349&gt;E349,1,0)</f>
        <v>1</v>
      </c>
      <c r="J349" s="458"/>
      <c r="K349" s="458"/>
      <c r="L349" s="458"/>
      <c r="M349" s="459"/>
      <c r="N349" s="414"/>
      <c r="O349" s="17"/>
    </row>
    <row r="350" spans="2:15" x14ac:dyDescent="0.15">
      <c r="B350" s="536">
        <f>IF(D350&gt;H350,1,0)</f>
        <v>0</v>
      </c>
      <c r="C350" s="613" t="str">
        <f>C15</f>
        <v>Emotional Suffering</v>
      </c>
      <c r="D350" s="614">
        <f>D15/7.333*100</f>
        <v>0</v>
      </c>
      <c r="E350" s="615">
        <v>40</v>
      </c>
      <c r="F350" s="474">
        <v>75.09</v>
      </c>
      <c r="G350" s="615">
        <v>63.92</v>
      </c>
      <c r="H350" s="616">
        <v>59.5</v>
      </c>
      <c r="I350" s="414">
        <f>IF(D350&lt;E350,1,0)</f>
        <v>1</v>
      </c>
      <c r="J350" s="458"/>
      <c r="K350" s="458"/>
      <c r="L350" s="17"/>
      <c r="M350" s="460"/>
      <c r="N350" s="460"/>
    </row>
    <row r="351" spans="2:15" x14ac:dyDescent="0.15">
      <c r="B351" s="536">
        <f>IF(D351&gt;F351,1,0)</f>
        <v>0</v>
      </c>
      <c r="C351" s="613" t="str">
        <f>C19</f>
        <v>Attention-Seeking Behavior</v>
      </c>
      <c r="D351" s="614">
        <f>D19/3.286*100</f>
        <v>0</v>
      </c>
      <c r="E351" s="615">
        <v>47</v>
      </c>
      <c r="F351" s="474">
        <v>56.94</v>
      </c>
      <c r="G351" s="615">
        <v>39.31</v>
      </c>
      <c r="H351" s="616">
        <v>33.54</v>
      </c>
      <c r="I351" s="657">
        <f>IF(D351&gt;=H351,1,0)</f>
        <v>0</v>
      </c>
      <c r="J351" s="458"/>
      <c r="K351" s="458"/>
      <c r="L351" s="17"/>
      <c r="M351" s="460"/>
      <c r="N351" s="460"/>
      <c r="O351" s="17"/>
    </row>
    <row r="352" spans="2:15" x14ac:dyDescent="0.15">
      <c r="B352" s="536">
        <f>IF(D352&gt;F352,1,0)</f>
        <v>0</v>
      </c>
      <c r="C352" s="613" t="str">
        <f>C23</f>
        <v>Rare Symptoms</v>
      </c>
      <c r="D352" s="614">
        <f>D23/1.5*100</f>
        <v>0</v>
      </c>
      <c r="E352" s="615">
        <v>4</v>
      </c>
      <c r="F352" s="474">
        <v>28.05</v>
      </c>
      <c r="G352" s="615">
        <v>5.79</v>
      </c>
      <c r="H352" s="616">
        <v>0.4</v>
      </c>
      <c r="I352" s="506"/>
      <c r="J352" s="458"/>
      <c r="K352" s="458"/>
      <c r="L352" s="458"/>
      <c r="M352" s="92"/>
      <c r="N352" s="414"/>
      <c r="O352" s="17"/>
    </row>
    <row r="353" spans="2:14" x14ac:dyDescent="0.15">
      <c r="B353" s="537">
        <f>IF(D353&gt;F353,1,0)</f>
        <v>0</v>
      </c>
      <c r="C353" s="613" t="str">
        <f>C27</f>
        <v>Factitious Behavior</v>
      </c>
      <c r="D353" s="614">
        <f>D27/3*100</f>
        <v>0</v>
      </c>
      <c r="E353" s="615">
        <v>14</v>
      </c>
      <c r="F353" s="474">
        <v>25.9</v>
      </c>
      <c r="G353" s="615">
        <v>14.29</v>
      </c>
      <c r="H353" s="616">
        <v>9.52</v>
      </c>
      <c r="I353" s="657">
        <f>IF(D353&gt;H353,1,0)</f>
        <v>0</v>
      </c>
      <c r="J353" s="458"/>
      <c r="K353" s="458"/>
      <c r="L353" s="458"/>
      <c r="M353" s="92"/>
      <c r="N353" s="414"/>
    </row>
    <row r="354" spans="2:14" x14ac:dyDescent="0.15">
      <c r="B354" s="536">
        <f>IF(D354&gt;=D391,1,0)</f>
        <v>1</v>
      </c>
      <c r="C354" s="613" t="str">
        <f>C240</f>
        <v>BPD Index</v>
      </c>
      <c r="D354" s="614">
        <f>D240</f>
        <v>0</v>
      </c>
      <c r="E354" s="615">
        <v>29.9</v>
      </c>
      <c r="F354" s="615">
        <v>53.17</v>
      </c>
      <c r="G354" s="615">
        <v>28.6</v>
      </c>
      <c r="H354" s="616">
        <v>25.08</v>
      </c>
      <c r="I354" s="459">
        <f>SUM(B350,I351:I353)</f>
        <v>0</v>
      </c>
      <c r="J354" s="458"/>
      <c r="K354" s="458"/>
      <c r="L354" s="458"/>
      <c r="M354" s="92"/>
      <c r="N354" s="414"/>
    </row>
    <row r="355" spans="2:14" x14ac:dyDescent="0.15">
      <c r="B355" s="517"/>
      <c r="C355" s="613"/>
      <c r="D355" s="614"/>
      <c r="E355" s="615"/>
      <c r="F355" s="615"/>
      <c r="G355" s="615"/>
      <c r="H355" s="616"/>
      <c r="J355" s="458"/>
      <c r="M355" s="14"/>
      <c r="N355" s="414"/>
    </row>
    <row r="356" spans="2:14" x14ac:dyDescent="0.15">
      <c r="B356" s="517"/>
      <c r="C356" s="624" t="s">
        <v>700</v>
      </c>
      <c r="D356" s="614"/>
      <c r="E356" s="615"/>
      <c r="F356" s="615"/>
      <c r="G356" s="615"/>
      <c r="H356" s="616"/>
      <c r="N356" s="459"/>
    </row>
    <row r="357" spans="2:14" x14ac:dyDescent="0.15">
      <c r="B357" s="517"/>
      <c r="C357" s="613" t="str">
        <f>C34</f>
        <v>Memory Problems</v>
      </c>
      <c r="D357" s="614">
        <f>D35*100</f>
        <v>0</v>
      </c>
      <c r="E357" s="615">
        <v>46.5</v>
      </c>
      <c r="F357" s="615">
        <v>195.5</v>
      </c>
      <c r="G357" s="615">
        <v>175.5</v>
      </c>
      <c r="H357" s="616">
        <v>105.71</v>
      </c>
    </row>
    <row r="358" spans="2:14" x14ac:dyDescent="0.15">
      <c r="B358" s="517"/>
      <c r="C358" s="613" t="str">
        <f>C38</f>
        <v>Depersonalization</v>
      </c>
      <c r="D358" s="614">
        <f>D39*100</f>
        <v>0</v>
      </c>
      <c r="E358" s="615">
        <v>33.299999999999997</v>
      </c>
      <c r="F358" s="615">
        <v>226.6</v>
      </c>
      <c r="G358" s="615">
        <v>187.5</v>
      </c>
      <c r="H358" s="616">
        <v>57.14</v>
      </c>
    </row>
    <row r="359" spans="2:14" x14ac:dyDescent="0.15">
      <c r="B359" s="517"/>
      <c r="C359" s="613" t="str">
        <f>C42</f>
        <v>Derealization</v>
      </c>
      <c r="D359" s="614">
        <f>D43*100</f>
        <v>0</v>
      </c>
      <c r="E359" s="615">
        <v>41.8</v>
      </c>
      <c r="F359" s="615">
        <v>229.6</v>
      </c>
      <c r="G359" s="615">
        <v>191.9</v>
      </c>
      <c r="H359" s="616">
        <v>64.290000000000006</v>
      </c>
    </row>
    <row r="360" spans="2:14" x14ac:dyDescent="0.15">
      <c r="B360" s="517"/>
      <c r="C360" s="613" t="str">
        <f>C46</f>
        <v>Flashbacks</v>
      </c>
      <c r="D360" s="614">
        <f>D47*100</f>
        <v>0</v>
      </c>
      <c r="E360" s="615">
        <v>41.8</v>
      </c>
      <c r="F360" s="615">
        <v>202.1</v>
      </c>
      <c r="G360" s="615">
        <v>165.5</v>
      </c>
      <c r="H360" s="616">
        <v>131.43</v>
      </c>
    </row>
    <row r="361" spans="2:14" x14ac:dyDescent="0.15">
      <c r="B361" s="517"/>
      <c r="C361" s="613" t="str">
        <f>C50</f>
        <v>Somatoform Symptoms</v>
      </c>
      <c r="D361" s="614">
        <f>D51*100</f>
        <v>0</v>
      </c>
      <c r="E361" s="615">
        <v>41.8</v>
      </c>
      <c r="F361" s="615">
        <v>145.1</v>
      </c>
      <c r="G361" s="615">
        <v>130.6</v>
      </c>
      <c r="H361" s="616">
        <v>55.36</v>
      </c>
    </row>
    <row r="362" spans="2:14" x14ac:dyDescent="0.15">
      <c r="B362" s="517"/>
      <c r="C362" s="613" t="str">
        <f>C54</f>
        <v>Trance</v>
      </c>
      <c r="D362" s="614">
        <f>D55*100</f>
        <v>0</v>
      </c>
      <c r="E362" s="615">
        <v>41.9</v>
      </c>
      <c r="F362" s="615">
        <v>186.1</v>
      </c>
      <c r="G362" s="615">
        <v>160</v>
      </c>
      <c r="H362" s="616">
        <v>88.57</v>
      </c>
    </row>
    <row r="363" spans="2:14" x14ac:dyDescent="0.15">
      <c r="B363" s="517"/>
      <c r="C363" s="613"/>
      <c r="D363" s="614"/>
      <c r="E363" s="615"/>
      <c r="F363" s="615"/>
      <c r="G363" s="615"/>
      <c r="H363" s="616"/>
    </row>
    <row r="364" spans="2:14" x14ac:dyDescent="0.15">
      <c r="B364" s="517"/>
      <c r="C364" s="625" t="s">
        <v>701</v>
      </c>
      <c r="D364" s="614"/>
      <c r="E364" s="615"/>
      <c r="F364" s="615"/>
      <c r="G364" s="615"/>
      <c r="H364" s="616"/>
    </row>
    <row r="365" spans="2:14" x14ac:dyDescent="0.15">
      <c r="B365" s="517"/>
      <c r="C365" s="613" t="str">
        <f>C144</f>
        <v>Child Voices</v>
      </c>
      <c r="D365" s="614">
        <f>D145*100</f>
        <v>0</v>
      </c>
      <c r="E365" s="615">
        <v>33.299999999999997</v>
      </c>
      <c r="F365" s="615">
        <v>240.8</v>
      </c>
      <c r="G365" s="615">
        <v>180</v>
      </c>
      <c r="H365" s="616">
        <v>0</v>
      </c>
    </row>
    <row r="366" spans="2:14" x14ac:dyDescent="0.15">
      <c r="B366" s="517"/>
      <c r="C366" s="613" t="str">
        <f>C148</f>
        <v>Voices / Internal Struggle</v>
      </c>
      <c r="D366" s="614">
        <f>D149*100</f>
        <v>0</v>
      </c>
      <c r="E366" s="615">
        <v>48.5</v>
      </c>
      <c r="F366" s="615">
        <v>253.5</v>
      </c>
      <c r="G366" s="615">
        <v>197.5</v>
      </c>
      <c r="H366" s="616">
        <v>88.1</v>
      </c>
    </row>
    <row r="367" spans="2:14" x14ac:dyDescent="0.15">
      <c r="B367" s="517"/>
      <c r="C367" s="613" t="str">
        <f>C152</f>
        <v>Persecutory Voices</v>
      </c>
      <c r="D367" s="614">
        <f>D153*100</f>
        <v>0</v>
      </c>
      <c r="E367" s="615">
        <v>22</v>
      </c>
      <c r="F367" s="615">
        <v>190.1</v>
      </c>
      <c r="G367" s="615">
        <v>140</v>
      </c>
      <c r="H367" s="616">
        <v>25</v>
      </c>
    </row>
    <row r="368" spans="2:14" x14ac:dyDescent="0.15">
      <c r="B368" s="517"/>
      <c r="C368" s="613" t="str">
        <f>C156</f>
        <v>Speech Insertion</v>
      </c>
      <c r="D368" s="614">
        <f>D157*100</f>
        <v>0</v>
      </c>
      <c r="E368" s="615">
        <v>27.2</v>
      </c>
      <c r="F368" s="615">
        <v>123.7</v>
      </c>
      <c r="G368" s="615">
        <v>91.3</v>
      </c>
      <c r="H368" s="616">
        <v>7.14</v>
      </c>
    </row>
    <row r="369" spans="2:8" x14ac:dyDescent="0.15">
      <c r="B369" s="517"/>
      <c r="C369" s="613" t="str">
        <f>C160</f>
        <v>Thought Insertion</v>
      </c>
      <c r="D369" s="614">
        <f>D161*100</f>
        <v>0</v>
      </c>
      <c r="E369" s="615">
        <v>28.1</v>
      </c>
      <c r="F369" s="615">
        <v>144.69999999999999</v>
      </c>
      <c r="G369" s="615">
        <v>120</v>
      </c>
      <c r="H369" s="616">
        <v>66.67</v>
      </c>
    </row>
    <row r="370" spans="2:8" x14ac:dyDescent="0.15">
      <c r="B370" s="517"/>
      <c r="C370" s="613" t="str">
        <f>C164</f>
        <v>'Made' / Intrusive Emotions</v>
      </c>
      <c r="D370" s="614">
        <f>D165*100</f>
        <v>0</v>
      </c>
      <c r="E370" s="615">
        <v>29.2</v>
      </c>
      <c r="F370" s="615">
        <v>148.4</v>
      </c>
      <c r="G370" s="615">
        <v>117.5</v>
      </c>
      <c r="H370" s="616">
        <v>62.5</v>
      </c>
    </row>
    <row r="371" spans="2:8" x14ac:dyDescent="0.15">
      <c r="B371" s="517"/>
      <c r="C371" s="613" t="str">
        <f>C168</f>
        <v>'Made' / Intrusive Impulses</v>
      </c>
      <c r="D371" s="614">
        <f>D169*100</f>
        <v>0</v>
      </c>
      <c r="E371" s="615">
        <v>23.3</v>
      </c>
      <c r="F371" s="615">
        <v>126.3</v>
      </c>
      <c r="G371" s="615">
        <v>95</v>
      </c>
      <c r="H371" s="616">
        <v>28.57</v>
      </c>
    </row>
    <row r="372" spans="2:8" x14ac:dyDescent="0.15">
      <c r="B372" s="517"/>
      <c r="C372" s="613" t="str">
        <f>C172</f>
        <v>'Made' / Intrusive Actions</v>
      </c>
      <c r="D372" s="614">
        <f>D173*100</f>
        <v>0</v>
      </c>
      <c r="E372" s="615">
        <v>40.700000000000003</v>
      </c>
      <c r="F372" s="615">
        <v>195.7</v>
      </c>
      <c r="G372" s="615">
        <v>158.1</v>
      </c>
      <c r="H372" s="616">
        <v>51.79</v>
      </c>
    </row>
    <row r="373" spans="2:8" x14ac:dyDescent="0.15">
      <c r="B373" s="517"/>
      <c r="C373" s="613" t="str">
        <f>C176</f>
        <v>Temporary Loss of Knowledge</v>
      </c>
      <c r="D373" s="614">
        <f>D177*100</f>
        <v>0</v>
      </c>
      <c r="E373" s="615">
        <v>32.299999999999997</v>
      </c>
      <c r="F373" s="615">
        <v>187.5</v>
      </c>
      <c r="G373" s="615">
        <v>126.3</v>
      </c>
      <c r="H373" s="616">
        <v>35.71</v>
      </c>
    </row>
    <row r="374" spans="2:8" x14ac:dyDescent="0.15">
      <c r="B374" s="517"/>
      <c r="C374" s="613" t="str">
        <f>C70</f>
        <v>Experiences of Self-Alteration</v>
      </c>
      <c r="D374" s="614">
        <f>D71*100</f>
        <v>0</v>
      </c>
      <c r="E374" s="615">
        <v>43.7</v>
      </c>
      <c r="F374" s="615">
        <v>231.3</v>
      </c>
      <c r="G374" s="615">
        <v>177.5</v>
      </c>
      <c r="H374" s="616">
        <v>50</v>
      </c>
    </row>
    <row r="375" spans="2:8" x14ac:dyDescent="0.15">
      <c r="B375" s="517"/>
      <c r="C375" s="613" t="str">
        <f>C184</f>
        <v>Puzzlement about Oneself</v>
      </c>
      <c r="D375" s="614">
        <f>D185*100</f>
        <v>0</v>
      </c>
      <c r="E375" s="615">
        <v>48.7</v>
      </c>
      <c r="F375" s="615">
        <v>231.6</v>
      </c>
      <c r="G375" s="615">
        <v>204.2</v>
      </c>
      <c r="H375" s="616">
        <v>129.19</v>
      </c>
    </row>
    <row r="376" spans="2:8" x14ac:dyDescent="0.15">
      <c r="B376" s="517"/>
      <c r="C376" s="613"/>
      <c r="D376" s="614"/>
      <c r="E376" s="615"/>
      <c r="F376" s="615"/>
      <c r="G376" s="615"/>
      <c r="H376" s="616"/>
    </row>
    <row r="377" spans="2:8" x14ac:dyDescent="0.15">
      <c r="B377" s="517"/>
      <c r="C377" s="625" t="s">
        <v>702</v>
      </c>
      <c r="D377" s="614"/>
      <c r="E377" s="615"/>
      <c r="F377" s="615"/>
      <c r="G377" s="615"/>
      <c r="H377" s="616"/>
    </row>
    <row r="378" spans="2:8" x14ac:dyDescent="0.15">
      <c r="B378" s="517"/>
      <c r="C378" s="613" t="str">
        <f>C192</f>
        <v>Time Loss</v>
      </c>
      <c r="D378" s="614">
        <f>D193*100</f>
        <v>0</v>
      </c>
      <c r="E378" s="615">
        <v>24.2</v>
      </c>
      <c r="F378" s="615">
        <v>165.1</v>
      </c>
      <c r="G378" s="615">
        <v>118.8</v>
      </c>
      <c r="H378" s="616">
        <v>39.29</v>
      </c>
    </row>
    <row r="379" spans="2:8" x14ac:dyDescent="0.15">
      <c r="B379" s="517"/>
      <c r="C379" s="613" t="str">
        <f>C196</f>
        <v>"Coming to"</v>
      </c>
      <c r="D379" s="614">
        <f>D197*100</f>
        <v>0</v>
      </c>
      <c r="E379" s="615">
        <v>22.5</v>
      </c>
      <c r="F379" s="615">
        <v>147.4</v>
      </c>
      <c r="G379" s="615">
        <v>101.3</v>
      </c>
      <c r="H379" s="616">
        <v>28.57</v>
      </c>
    </row>
    <row r="380" spans="2:8" x14ac:dyDescent="0.15">
      <c r="B380" s="517"/>
      <c r="C380" s="613" t="str">
        <f>C200</f>
        <v>Fugues</v>
      </c>
      <c r="D380" s="614">
        <f>D201*100</f>
        <v>0</v>
      </c>
      <c r="E380" s="615">
        <v>22.1</v>
      </c>
      <c r="F380" s="615">
        <v>170.4</v>
      </c>
      <c r="G380" s="615">
        <v>102.5</v>
      </c>
      <c r="H380" s="616">
        <v>17.86</v>
      </c>
    </row>
    <row r="381" spans="2:8" x14ac:dyDescent="0.15">
      <c r="B381" s="517"/>
      <c r="C381" s="613" t="str">
        <f>C205</f>
        <v>Being Told of Disremembered Actions</v>
      </c>
      <c r="D381" s="614">
        <f>D206*100</f>
        <v>0</v>
      </c>
      <c r="E381" s="615">
        <v>22.9</v>
      </c>
      <c r="F381" s="615">
        <v>139.5</v>
      </c>
      <c r="G381" s="615">
        <v>90</v>
      </c>
      <c r="H381" s="616">
        <v>10.71</v>
      </c>
    </row>
    <row r="382" spans="2:8" x14ac:dyDescent="0.15">
      <c r="B382" s="517"/>
      <c r="C382" s="613" t="str">
        <f>C209</f>
        <v>Finding Objects Among Possessions</v>
      </c>
      <c r="D382" s="614">
        <f>D210*100</f>
        <v>0</v>
      </c>
      <c r="E382" s="615">
        <v>17.3</v>
      </c>
      <c r="F382" s="615">
        <v>127.6</v>
      </c>
      <c r="G382" s="615">
        <v>80</v>
      </c>
      <c r="H382" s="616">
        <v>17.86</v>
      </c>
    </row>
    <row r="383" spans="2:8" ht="14" thickBot="1" x14ac:dyDescent="0.2">
      <c r="B383" s="517"/>
      <c r="C383" s="619" t="str">
        <f>C213</f>
        <v>Finding Evidence of One's Actions</v>
      </c>
      <c r="D383" s="620">
        <f>D214*100</f>
        <v>0</v>
      </c>
      <c r="E383" s="621">
        <v>19.5</v>
      </c>
      <c r="F383" s="621">
        <v>150</v>
      </c>
      <c r="G383" s="621">
        <v>87.5</v>
      </c>
      <c r="H383" s="622">
        <v>14.29</v>
      </c>
    </row>
    <row r="387" spans="2:10" x14ac:dyDescent="0.15">
      <c r="G387" s="118"/>
    </row>
    <row r="388" spans="2:10" ht="29" thickBot="1" x14ac:dyDescent="0.2">
      <c r="B388" s="517"/>
      <c r="C388" s="529" t="s">
        <v>730</v>
      </c>
      <c r="D388" s="530" t="str">
        <f>IF(Questions!$B$3="","Test-taker",Questions!$B$3)</f>
        <v>Test-taker</v>
      </c>
      <c r="E388" s="534" t="s">
        <v>4</v>
      </c>
      <c r="F388" s="531" t="s">
        <v>10</v>
      </c>
      <c r="G388" s="535" t="s">
        <v>821</v>
      </c>
      <c r="H388" s="531" t="s">
        <v>11</v>
      </c>
    </row>
    <row r="389" spans="2:10" x14ac:dyDescent="0.15">
      <c r="B389" s="517"/>
      <c r="C389" s="626"/>
      <c r="D389" s="610"/>
      <c r="E389" s="611"/>
      <c r="F389" s="611"/>
      <c r="G389" s="611"/>
      <c r="H389" s="612"/>
    </row>
    <row r="390" spans="2:10" x14ac:dyDescent="0.15">
      <c r="B390" s="517"/>
      <c r="C390" s="617" t="s">
        <v>789</v>
      </c>
      <c r="D390" s="614"/>
      <c r="E390" s="615"/>
      <c r="F390" s="615"/>
      <c r="G390" s="615"/>
      <c r="H390" s="616"/>
    </row>
    <row r="391" spans="2:10" x14ac:dyDescent="0.15">
      <c r="B391" s="536">
        <f>IF(D391&gt;=H391,1,0)</f>
        <v>0</v>
      </c>
      <c r="C391" s="627" t="str">
        <f>C236</f>
        <v>Mean MID Score</v>
      </c>
      <c r="D391" s="614">
        <f>D236*10</f>
        <v>0</v>
      </c>
      <c r="E391" s="615">
        <v>7</v>
      </c>
      <c r="F391" s="615">
        <v>50.56</v>
      </c>
      <c r="G391" s="615">
        <v>28.08</v>
      </c>
      <c r="H391" s="616">
        <v>11.39</v>
      </c>
      <c r="I391" s="414">
        <f>IF(D391&lt;=H391,1,0)</f>
        <v>1</v>
      </c>
      <c r="J391" s="414"/>
    </row>
    <row r="392" spans="2:10" x14ac:dyDescent="0.15">
      <c r="B392" s="536">
        <f>IF(D392&gt;=E392,1,0)</f>
        <v>0</v>
      </c>
      <c r="C392" s="642" t="s">
        <v>788</v>
      </c>
      <c r="D392" s="614">
        <f>D237</f>
        <v>0</v>
      </c>
      <c r="E392" s="615">
        <v>4.3099999999999996</v>
      </c>
      <c r="F392" s="615">
        <v>51.57</v>
      </c>
      <c r="G392" s="615">
        <v>21.91</v>
      </c>
      <c r="H392" s="616">
        <v>3.87</v>
      </c>
      <c r="I392" s="414">
        <f>IF(D392&gt;=G392,1,0)</f>
        <v>0</v>
      </c>
    </row>
    <row r="393" spans="2:10" x14ac:dyDescent="0.15">
      <c r="B393" s="536">
        <f>IF(D393&lt;E393,1,0)</f>
        <v>1</v>
      </c>
      <c r="C393" s="617" t="s">
        <v>787</v>
      </c>
      <c r="D393" s="614">
        <f>D238/168*100</f>
        <v>0</v>
      </c>
      <c r="E393" s="615">
        <v>14</v>
      </c>
      <c r="F393" s="615">
        <v>75.010000000000005</v>
      </c>
      <c r="G393" s="615">
        <v>47.37</v>
      </c>
      <c r="H393" s="616">
        <v>24.06</v>
      </c>
      <c r="I393" s="414">
        <f>IF(D393&gt;H393,1,0)</f>
        <v>0</v>
      </c>
    </row>
    <row r="394" spans="2:10" x14ac:dyDescent="0.15">
      <c r="B394" s="517"/>
      <c r="C394" s="613" t="str">
        <f>C38</f>
        <v>Depersonalization</v>
      </c>
      <c r="D394" s="614">
        <f>D40</f>
        <v>0</v>
      </c>
      <c r="E394" s="615">
        <v>13</v>
      </c>
      <c r="F394" s="615">
        <v>75.2</v>
      </c>
      <c r="G394" s="615">
        <v>61.11</v>
      </c>
      <c r="H394" s="616">
        <v>19.05</v>
      </c>
    </row>
    <row r="395" spans="2:10" x14ac:dyDescent="0.15">
      <c r="B395" s="517"/>
      <c r="C395" s="627" t="str">
        <f>C42</f>
        <v>Derealization</v>
      </c>
      <c r="D395" s="614">
        <f>D44</f>
        <v>0</v>
      </c>
      <c r="E395" s="615">
        <v>16</v>
      </c>
      <c r="F395" s="615">
        <v>74.790000000000006</v>
      </c>
      <c r="G395" s="615">
        <v>57.64</v>
      </c>
      <c r="H395" s="616">
        <v>21.43</v>
      </c>
    </row>
    <row r="396" spans="2:10" x14ac:dyDescent="0.15">
      <c r="B396" s="517"/>
      <c r="C396" s="613" t="str">
        <f>C250</f>
        <v>Amnesia</v>
      </c>
      <c r="D396" s="614">
        <f>D252</f>
        <v>0</v>
      </c>
      <c r="E396" s="615">
        <v>7</v>
      </c>
      <c r="F396" s="615">
        <v>65.930000000000007</v>
      </c>
      <c r="G396" s="615">
        <v>11.56</v>
      </c>
      <c r="H396" s="616">
        <v>10.6</v>
      </c>
    </row>
    <row r="397" spans="2:10" x14ac:dyDescent="0.15">
      <c r="B397" s="517"/>
      <c r="C397" s="613"/>
      <c r="D397" s="614"/>
      <c r="E397" s="615"/>
      <c r="F397" s="615"/>
      <c r="G397" s="615"/>
      <c r="H397" s="616"/>
    </row>
    <row r="398" spans="2:10" x14ac:dyDescent="0.15">
      <c r="B398" s="517"/>
      <c r="C398" s="617" t="s">
        <v>790</v>
      </c>
      <c r="D398" s="614"/>
      <c r="E398" s="615"/>
      <c r="F398" s="615"/>
      <c r="G398" s="615"/>
      <c r="H398" s="616"/>
    </row>
    <row r="399" spans="2:10" x14ac:dyDescent="0.15">
      <c r="B399" s="517"/>
      <c r="C399" s="617" t="str">
        <f>C70</f>
        <v>Experiences of Self-Alteration</v>
      </c>
      <c r="D399" s="614">
        <f>D70*10</f>
        <v>0</v>
      </c>
      <c r="E399" s="615">
        <v>5</v>
      </c>
      <c r="F399" s="615">
        <v>48.48</v>
      </c>
      <c r="G399" s="615">
        <v>25</v>
      </c>
      <c r="H399" s="616">
        <v>6.85</v>
      </c>
    </row>
    <row r="400" spans="2:10" x14ac:dyDescent="0.15">
      <c r="B400" s="536">
        <f>IF(D400&gt;D401,1,0)</f>
        <v>0</v>
      </c>
      <c r="C400" s="613" t="str">
        <f>C242</f>
        <v>I Have DID</v>
      </c>
      <c r="D400" s="614">
        <f>D242*10</f>
        <v>0</v>
      </c>
      <c r="E400" s="615">
        <v>2</v>
      </c>
      <c r="F400" s="615">
        <v>61.77</v>
      </c>
      <c r="G400" s="615">
        <v>28.33</v>
      </c>
      <c r="H400" s="616">
        <v>2.68</v>
      </c>
      <c r="I400" s="414">
        <f>IF(D400&lt;G400,1)</f>
        <v>1</v>
      </c>
    </row>
    <row r="401" spans="2:9" x14ac:dyDescent="0.15">
      <c r="B401" s="536">
        <f>IF(D401&lt;=E401,1,0)</f>
        <v>1</v>
      </c>
      <c r="C401" s="613" t="str">
        <f>C246</f>
        <v>I Have Parts</v>
      </c>
      <c r="D401" s="614">
        <f>D246*10</f>
        <v>0</v>
      </c>
      <c r="E401" s="615">
        <v>6</v>
      </c>
      <c r="F401" s="615">
        <v>61.3</v>
      </c>
      <c r="G401" s="615">
        <v>35.28</v>
      </c>
      <c r="H401" s="616">
        <v>7.62</v>
      </c>
      <c r="I401" s="414"/>
    </row>
    <row r="402" spans="2:9" x14ac:dyDescent="0.15">
      <c r="B402" s="517"/>
      <c r="C402" s="613" t="str">
        <f>C256</f>
        <v>Child Parts</v>
      </c>
      <c r="D402" s="614">
        <f>D256*10</f>
        <v>0</v>
      </c>
      <c r="E402" s="615">
        <v>5</v>
      </c>
      <c r="F402" s="615">
        <v>57.66</v>
      </c>
      <c r="G402" s="615">
        <v>38.81</v>
      </c>
      <c r="H402" s="616">
        <v>7.24</v>
      </c>
    </row>
    <row r="403" spans="2:9" x14ac:dyDescent="0.15">
      <c r="B403" s="517"/>
      <c r="C403" s="613" t="str">
        <f>C260</f>
        <v>Helper Parts</v>
      </c>
      <c r="D403" s="614">
        <f>D260*10</f>
        <v>0</v>
      </c>
      <c r="E403" s="615">
        <v>5</v>
      </c>
      <c r="F403" s="615">
        <v>37.56</v>
      </c>
      <c r="G403" s="615">
        <v>40</v>
      </c>
      <c r="H403" s="616">
        <v>6.43</v>
      </c>
    </row>
    <row r="404" spans="2:9" x14ac:dyDescent="0.15">
      <c r="B404" s="517"/>
      <c r="C404" s="613" t="str">
        <f>C264</f>
        <v>Angry Parts</v>
      </c>
      <c r="D404" s="614">
        <f>D264*10</f>
        <v>0</v>
      </c>
      <c r="E404" s="615">
        <v>6</v>
      </c>
      <c r="F404" s="615">
        <v>54.02</v>
      </c>
      <c r="G404" s="615">
        <v>21.78</v>
      </c>
      <c r="H404" s="616">
        <v>4.46</v>
      </c>
    </row>
    <row r="405" spans="2:9" x14ac:dyDescent="0.15">
      <c r="B405" s="517"/>
      <c r="C405" s="613" t="str">
        <f>C268</f>
        <v>Persecutor Parts</v>
      </c>
      <c r="D405" s="614">
        <f>D268*10</f>
        <v>0</v>
      </c>
      <c r="E405" s="615">
        <v>4</v>
      </c>
      <c r="F405" s="615">
        <v>55.6</v>
      </c>
      <c r="G405" s="615">
        <v>38.51</v>
      </c>
      <c r="H405" s="616">
        <v>5.82</v>
      </c>
    </row>
    <row r="406" spans="2:9" x14ac:dyDescent="0.15">
      <c r="B406" s="517"/>
      <c r="C406" s="613"/>
      <c r="D406" s="614"/>
      <c r="E406" s="615"/>
      <c r="F406" s="615"/>
      <c r="G406" s="615"/>
      <c r="H406" s="616"/>
    </row>
    <row r="407" spans="2:9" x14ac:dyDescent="0.15">
      <c r="B407" s="517"/>
      <c r="C407" s="617" t="s">
        <v>792</v>
      </c>
      <c r="D407" s="614"/>
      <c r="E407" s="615"/>
      <c r="F407" s="615"/>
      <c r="G407" s="615"/>
      <c r="H407" s="616"/>
    </row>
    <row r="408" spans="2:9" x14ac:dyDescent="0.15">
      <c r="B408" s="536">
        <f>IF(D408&gt;G408,1,0)</f>
        <v>1</v>
      </c>
      <c r="C408" s="617" t="s">
        <v>791</v>
      </c>
      <c r="D408" s="614">
        <f>D11*10</f>
        <v>100</v>
      </c>
      <c r="E408" s="615">
        <v>64</v>
      </c>
      <c r="F408" s="615">
        <v>33.15</v>
      </c>
      <c r="G408" s="615">
        <v>49.69</v>
      </c>
      <c r="H408" s="616">
        <v>57.92</v>
      </c>
      <c r="I408" s="414"/>
    </row>
    <row r="409" spans="2:9" x14ac:dyDescent="0.15">
      <c r="B409" s="536">
        <f>IF(D409&gt;E409,1,0)</f>
        <v>1</v>
      </c>
      <c r="C409" s="617" t="str">
        <f>C11</f>
        <v>Defensiveness / Minimization</v>
      </c>
      <c r="D409" s="614">
        <f>D13</f>
        <v>100</v>
      </c>
      <c r="E409" s="615">
        <v>12</v>
      </c>
      <c r="F409" s="615">
        <v>2.4300000000000002</v>
      </c>
      <c r="G409" s="615">
        <v>4.51</v>
      </c>
      <c r="H409" s="616">
        <v>2.38</v>
      </c>
    </row>
    <row r="410" spans="2:9" x14ac:dyDescent="0.15">
      <c r="B410" s="536">
        <f>IF(D410&gt;F410,1,0)</f>
        <v>0</v>
      </c>
      <c r="C410" s="613" t="str">
        <f>C23</f>
        <v>Rare Symptoms</v>
      </c>
      <c r="D410" s="614">
        <f>D25</f>
        <v>0</v>
      </c>
      <c r="E410" s="615">
        <v>3</v>
      </c>
      <c r="F410" s="615">
        <v>11.17</v>
      </c>
      <c r="G410" s="615">
        <v>3.82</v>
      </c>
      <c r="H410" s="616">
        <v>0.6</v>
      </c>
    </row>
    <row r="411" spans="2:9" x14ac:dyDescent="0.15">
      <c r="B411" s="536">
        <f>IF(D411&gt;=75,1,0)</f>
        <v>0</v>
      </c>
      <c r="C411" s="613" t="str">
        <f>C132</f>
        <v>Psychosis Screen</v>
      </c>
      <c r="D411" s="614">
        <f>D134</f>
        <v>0</v>
      </c>
      <c r="E411" s="615">
        <v>4</v>
      </c>
      <c r="F411" s="615">
        <v>11.58</v>
      </c>
      <c r="G411" s="615">
        <v>7.29</v>
      </c>
      <c r="H411" s="616">
        <v>0</v>
      </c>
    </row>
    <row r="412" spans="2:9" x14ac:dyDescent="0.15">
      <c r="B412" s="517"/>
      <c r="C412" s="613"/>
      <c r="D412" s="614"/>
      <c r="E412" s="615"/>
      <c r="F412" s="615"/>
      <c r="G412" s="615"/>
      <c r="H412" s="616"/>
    </row>
    <row r="413" spans="2:9" x14ac:dyDescent="0.15">
      <c r="B413" s="517"/>
      <c r="C413" s="617" t="s">
        <v>804</v>
      </c>
      <c r="D413" s="614"/>
      <c r="E413" s="615"/>
      <c r="F413" s="615"/>
      <c r="G413" s="615"/>
      <c r="H413" s="616"/>
    </row>
    <row r="414" spans="2:9" x14ac:dyDescent="0.15">
      <c r="B414" s="517"/>
      <c r="C414" s="617" t="s">
        <v>805</v>
      </c>
      <c r="D414" s="614">
        <f>D21</f>
        <v>0</v>
      </c>
      <c r="E414" s="615">
        <v>15</v>
      </c>
      <c r="F414" s="615">
        <v>18.71</v>
      </c>
      <c r="G414" s="615">
        <v>12.92</v>
      </c>
      <c r="H414" s="616">
        <v>6.12</v>
      </c>
    </row>
    <row r="415" spans="2:9" x14ac:dyDescent="0.15">
      <c r="B415" s="517"/>
      <c r="C415" s="617" t="s">
        <v>806</v>
      </c>
      <c r="D415" s="614">
        <f>D29</f>
        <v>0</v>
      </c>
      <c r="E415" s="615">
        <v>4</v>
      </c>
      <c r="F415" s="615">
        <v>7.77</v>
      </c>
      <c r="G415" s="615">
        <v>4.29</v>
      </c>
      <c r="H415" s="616">
        <v>4.08</v>
      </c>
    </row>
    <row r="416" spans="2:9" x14ac:dyDescent="0.15">
      <c r="B416" s="536">
        <f>IF(D416&gt;F416,1,0)</f>
        <v>0</v>
      </c>
      <c r="C416" s="613" t="str">
        <f>C310</f>
        <v>Manipulativeness</v>
      </c>
      <c r="D416" s="614">
        <f>D311</f>
        <v>0</v>
      </c>
      <c r="E416" s="615">
        <v>6.59</v>
      </c>
      <c r="F416" s="615">
        <v>7.03</v>
      </c>
      <c r="G416" s="615">
        <v>6.85</v>
      </c>
      <c r="H416" s="616">
        <v>6.96</v>
      </c>
    </row>
    <row r="417" spans="2:8" x14ac:dyDescent="0.15">
      <c r="B417" s="517"/>
      <c r="C417" s="613" t="str">
        <f>C276</f>
        <v>Interpersonal Intrusiveness</v>
      </c>
      <c r="D417" s="614">
        <f>D276*10</f>
        <v>0</v>
      </c>
      <c r="E417" s="615">
        <v>14</v>
      </c>
      <c r="F417" s="615">
        <v>20.58</v>
      </c>
      <c r="G417" s="615">
        <v>17.420000000000002</v>
      </c>
      <c r="H417" s="616">
        <v>11.29</v>
      </c>
    </row>
    <row r="418" spans="2:8" x14ac:dyDescent="0.15">
      <c r="B418" s="517"/>
      <c r="C418" s="613" t="str">
        <f>C58</f>
        <v>Identity Confusion</v>
      </c>
      <c r="D418" s="614">
        <f>D58*10</f>
        <v>0</v>
      </c>
      <c r="E418" s="615">
        <v>15</v>
      </c>
      <c r="F418" s="615">
        <v>72.11</v>
      </c>
      <c r="G418" s="615">
        <v>47.29</v>
      </c>
      <c r="H418" s="616">
        <v>27.08</v>
      </c>
    </row>
    <row r="419" spans="2:8" x14ac:dyDescent="0.15">
      <c r="B419" s="517"/>
      <c r="C419" s="613" t="str">
        <f>C15</f>
        <v>Emotional Suffering</v>
      </c>
      <c r="D419" s="614">
        <f>D15*10</f>
        <v>0</v>
      </c>
      <c r="E419" s="615">
        <v>29</v>
      </c>
      <c r="F419" s="615">
        <v>55.06</v>
      </c>
      <c r="G419" s="615">
        <v>46.88</v>
      </c>
      <c r="H419" s="616">
        <v>43.63</v>
      </c>
    </row>
    <row r="420" spans="2:8" x14ac:dyDescent="0.15">
      <c r="B420" s="517"/>
      <c r="C420" s="613" t="str">
        <f>C280</f>
        <v>Abandonment</v>
      </c>
      <c r="D420" s="614">
        <f>D280*10</f>
        <v>0</v>
      </c>
      <c r="E420" s="615">
        <v>32</v>
      </c>
      <c r="F420" s="615">
        <v>57.52</v>
      </c>
      <c r="G420" s="615">
        <v>48.82</v>
      </c>
      <c r="H420" s="616">
        <v>50.83</v>
      </c>
    </row>
    <row r="421" spans="2:8" x14ac:dyDescent="0.15">
      <c r="B421" s="517"/>
      <c r="C421" s="613"/>
      <c r="D421" s="614"/>
      <c r="E421" s="615"/>
      <c r="F421" s="615"/>
      <c r="G421" s="615"/>
      <c r="H421" s="616"/>
    </row>
    <row r="422" spans="2:8" x14ac:dyDescent="0.15">
      <c r="B422" s="517"/>
      <c r="C422" s="617" t="s">
        <v>807</v>
      </c>
      <c r="D422" s="614"/>
      <c r="E422" s="615"/>
      <c r="F422" s="615"/>
      <c r="G422" s="615"/>
      <c r="H422" s="616"/>
    </row>
    <row r="423" spans="2:8" x14ac:dyDescent="0.15">
      <c r="B423" s="517"/>
      <c r="C423" s="613" t="str">
        <f>C306</f>
        <v>Critical Items Scale</v>
      </c>
      <c r="D423" s="614">
        <f>D306*10</f>
        <v>0</v>
      </c>
      <c r="E423" s="615">
        <v>3</v>
      </c>
      <c r="F423" s="615">
        <v>36.020000000000003</v>
      </c>
      <c r="G423" s="615">
        <v>17.329999999999998</v>
      </c>
      <c r="H423" s="616">
        <v>4.43</v>
      </c>
    </row>
    <row r="424" spans="2:8" x14ac:dyDescent="0.15">
      <c r="B424" s="517"/>
      <c r="C424" s="613" t="str">
        <f>C136</f>
        <v>Cognitive Distraction</v>
      </c>
      <c r="D424" s="614">
        <f>D136*10</f>
        <v>0</v>
      </c>
      <c r="E424" s="615">
        <v>36</v>
      </c>
      <c r="F424" s="615">
        <v>66.849999999999994</v>
      </c>
      <c r="G424" s="615">
        <v>50.31</v>
      </c>
      <c r="H424" s="616">
        <v>42.08</v>
      </c>
    </row>
    <row r="425" spans="2:8" ht="14" thickBot="1" x14ac:dyDescent="0.2">
      <c r="B425" s="517"/>
      <c r="C425" s="619"/>
      <c r="D425" s="620"/>
      <c r="E425" s="621"/>
      <c r="F425" s="621"/>
      <c r="G425" s="621"/>
      <c r="H425" s="622"/>
    </row>
    <row r="427" spans="2:8" ht="12.75" customHeight="1" x14ac:dyDescent="0.15">
      <c r="G427" s="118"/>
    </row>
    <row r="428" spans="2:8" ht="29" thickBot="1" x14ac:dyDescent="0.2">
      <c r="B428" s="517"/>
      <c r="C428" s="529" t="s">
        <v>172</v>
      </c>
      <c r="D428" s="530" t="str">
        <f>IF(Questions!$B$3="","Test-taker",Questions!$B$3)</f>
        <v>Test-taker</v>
      </c>
      <c r="E428" s="534" t="s">
        <v>4</v>
      </c>
      <c r="F428" s="531" t="s">
        <v>10</v>
      </c>
      <c r="G428" s="535" t="s">
        <v>821</v>
      </c>
      <c r="H428" s="531" t="s">
        <v>11</v>
      </c>
    </row>
    <row r="429" spans="2:8" x14ac:dyDescent="0.15">
      <c r="B429" s="517"/>
      <c r="C429" s="626"/>
      <c r="D429" s="628"/>
      <c r="E429" s="629"/>
      <c r="F429" s="630"/>
      <c r="G429" s="629"/>
      <c r="H429" s="631"/>
    </row>
    <row r="430" spans="2:8" x14ac:dyDescent="0.15">
      <c r="B430" s="517"/>
      <c r="C430" s="613" t="str">
        <f t="shared" ref="C430:D441" si="31">C220</f>
        <v>Self-Confusion / Dissociation</v>
      </c>
      <c r="D430" s="475">
        <f t="shared" si="31"/>
        <v>0</v>
      </c>
      <c r="E430" s="632">
        <v>12.79</v>
      </c>
      <c r="F430" s="485">
        <v>63.43</v>
      </c>
      <c r="G430" s="632">
        <v>40.76</v>
      </c>
      <c r="H430" s="633">
        <v>19.829999999999998</v>
      </c>
    </row>
    <row r="431" spans="2:8" x14ac:dyDescent="0.15">
      <c r="B431" s="517"/>
      <c r="C431" s="613" t="str">
        <f t="shared" si="31"/>
        <v>Subjective Awareness of Alters</v>
      </c>
      <c r="D431" s="475">
        <f t="shared" si="31"/>
        <v>0</v>
      </c>
      <c r="E431" s="632">
        <v>4.53</v>
      </c>
      <c r="F431" s="485">
        <v>59.88</v>
      </c>
      <c r="G431" s="632">
        <v>33.22</v>
      </c>
      <c r="H431" s="633">
        <v>5.36</v>
      </c>
    </row>
    <row r="432" spans="2:8" x14ac:dyDescent="0.15">
      <c r="B432" s="517"/>
      <c r="C432" s="613" t="str">
        <f t="shared" si="31"/>
        <v>Persecutory Intrusions</v>
      </c>
      <c r="D432" s="475">
        <f t="shared" si="31"/>
        <v>0</v>
      </c>
      <c r="E432" s="632">
        <v>4.49</v>
      </c>
      <c r="F432" s="485">
        <v>57.64</v>
      </c>
      <c r="G432" s="632">
        <v>37.54</v>
      </c>
      <c r="H432" s="633">
        <v>5.32</v>
      </c>
    </row>
    <row r="433" spans="2:8" x14ac:dyDescent="0.15">
      <c r="B433" s="517"/>
      <c r="C433" s="613" t="str">
        <f t="shared" si="31"/>
        <v>Angry Intrusions</v>
      </c>
      <c r="D433" s="475">
        <f t="shared" si="31"/>
        <v>0</v>
      </c>
      <c r="E433" s="632">
        <v>5.88</v>
      </c>
      <c r="F433" s="485">
        <v>55.21</v>
      </c>
      <c r="G433" s="632">
        <v>23.48</v>
      </c>
      <c r="H433" s="633">
        <v>6.03</v>
      </c>
    </row>
    <row r="434" spans="2:8" x14ac:dyDescent="0.15">
      <c r="B434" s="517"/>
      <c r="C434" s="613" t="str">
        <f t="shared" si="31"/>
        <v>Flashbacks</v>
      </c>
      <c r="D434" s="475">
        <f t="shared" si="31"/>
        <v>0</v>
      </c>
      <c r="E434" s="632">
        <v>8.5</v>
      </c>
      <c r="F434" s="485">
        <v>54.17</v>
      </c>
      <c r="G434" s="632">
        <v>32.99</v>
      </c>
      <c r="H434" s="633">
        <v>23.04</v>
      </c>
    </row>
    <row r="435" spans="2:8" x14ac:dyDescent="0.15">
      <c r="B435" s="517"/>
      <c r="C435" s="613" t="str">
        <f t="shared" si="31"/>
        <v>Derealization / Depersonalization</v>
      </c>
      <c r="D435" s="475">
        <f t="shared" si="31"/>
        <v>0</v>
      </c>
      <c r="E435" s="632">
        <v>4.3</v>
      </c>
      <c r="F435" s="485">
        <v>44.75</v>
      </c>
      <c r="G435" s="632">
        <v>24.72</v>
      </c>
      <c r="H435" s="633">
        <v>4.91</v>
      </c>
    </row>
    <row r="436" spans="2:8" x14ac:dyDescent="0.15">
      <c r="B436" s="517"/>
      <c r="C436" s="613" t="str">
        <f t="shared" si="31"/>
        <v>Trance</v>
      </c>
      <c r="D436" s="475">
        <f t="shared" si="31"/>
        <v>0</v>
      </c>
      <c r="E436" s="632">
        <v>4.05</v>
      </c>
      <c r="F436" s="485">
        <v>42.01</v>
      </c>
      <c r="G436" s="632">
        <v>20.63</v>
      </c>
      <c r="H436" s="633">
        <v>11.73</v>
      </c>
    </row>
    <row r="437" spans="2:8" x14ac:dyDescent="0.15">
      <c r="B437" s="517"/>
      <c r="C437" s="613" t="str">
        <f t="shared" si="31"/>
        <v>Autobiographical Memory</v>
      </c>
      <c r="D437" s="475">
        <f t="shared" si="31"/>
        <v>0</v>
      </c>
      <c r="E437" s="632">
        <v>18.91</v>
      </c>
      <c r="F437" s="485">
        <v>66.41</v>
      </c>
      <c r="G437" s="632">
        <v>51.42</v>
      </c>
      <c r="H437" s="633">
        <v>30.36</v>
      </c>
    </row>
    <row r="438" spans="2:8" x14ac:dyDescent="0.15">
      <c r="B438" s="517"/>
      <c r="C438" s="613" t="str">
        <f t="shared" si="31"/>
        <v>Amnestic Disorientation</v>
      </c>
      <c r="D438" s="475">
        <f t="shared" si="31"/>
        <v>0</v>
      </c>
      <c r="E438" s="632">
        <v>13.23</v>
      </c>
      <c r="F438" s="485">
        <v>59.22</v>
      </c>
      <c r="G438" s="632">
        <v>30.52</v>
      </c>
      <c r="H438" s="633">
        <v>17.68</v>
      </c>
    </row>
    <row r="439" spans="2:8" x14ac:dyDescent="0.15">
      <c r="B439" s="517"/>
      <c r="C439" s="613" t="str">
        <f t="shared" si="31"/>
        <v>Distress about Memory</v>
      </c>
      <c r="D439" s="475">
        <f t="shared" si="31"/>
        <v>0</v>
      </c>
      <c r="E439" s="632">
        <v>12.32</v>
      </c>
      <c r="F439" s="485">
        <v>57.06</v>
      </c>
      <c r="G439" s="632">
        <v>25.68</v>
      </c>
      <c r="H439" s="633">
        <v>19.39</v>
      </c>
    </row>
    <row r="440" spans="2:8" x14ac:dyDescent="0.15">
      <c r="B440" s="517"/>
      <c r="C440" s="613" t="str">
        <f t="shared" si="31"/>
        <v>Amnesia</v>
      </c>
      <c r="D440" s="475">
        <f t="shared" si="31"/>
        <v>0</v>
      </c>
      <c r="E440" s="632">
        <v>2.79</v>
      </c>
      <c r="F440" s="485">
        <v>40.51</v>
      </c>
      <c r="G440" s="632">
        <v>5.7</v>
      </c>
      <c r="H440" s="633">
        <v>3.57</v>
      </c>
    </row>
    <row r="441" spans="2:8" x14ac:dyDescent="0.15">
      <c r="B441" s="517"/>
      <c r="C441" s="613" t="str">
        <f t="shared" si="31"/>
        <v>Body Symptoms</v>
      </c>
      <c r="D441" s="475">
        <f t="shared" si="31"/>
        <v>0</v>
      </c>
      <c r="E441" s="632">
        <v>1.99</v>
      </c>
      <c r="F441" s="485">
        <v>22.72</v>
      </c>
      <c r="G441" s="632">
        <v>8.73</v>
      </c>
      <c r="H441" s="633">
        <v>3.06</v>
      </c>
    </row>
    <row r="442" spans="2:8" ht="14" thickBot="1" x14ac:dyDescent="0.2">
      <c r="B442" s="517"/>
      <c r="C442" s="619"/>
      <c r="D442" s="634"/>
      <c r="E442" s="635"/>
      <c r="F442" s="636"/>
      <c r="G442" s="635"/>
      <c r="H442" s="637"/>
    </row>
    <row r="445" spans="2:8" x14ac:dyDescent="0.15">
      <c r="B445" s="517"/>
      <c r="C445" s="529" t="s">
        <v>759</v>
      </c>
      <c r="D445" s="530" t="str">
        <f>IF(Questions!$B$3="","Test-taker",Questions!$B$3)</f>
        <v>Test-taker</v>
      </c>
      <c r="E445" s="531" t="s">
        <v>10</v>
      </c>
      <c r="F445" s="531" t="s">
        <v>728</v>
      </c>
      <c r="G445" s="135"/>
      <c r="H445" s="39"/>
    </row>
    <row r="446" spans="2:8" ht="14" thickBot="1" x14ac:dyDescent="0.2">
      <c r="B446" s="517"/>
      <c r="C446" s="518"/>
      <c r="D446" s="519"/>
      <c r="E446" s="518"/>
      <c r="F446" s="518"/>
    </row>
    <row r="447" spans="2:8" x14ac:dyDescent="0.15">
      <c r="B447" s="517"/>
      <c r="C447" s="609" t="s">
        <v>729</v>
      </c>
      <c r="D447" s="610"/>
      <c r="E447" s="611"/>
      <c r="F447" s="638"/>
      <c r="G447" s="416"/>
    </row>
    <row r="448" spans="2:8" x14ac:dyDescent="0.15">
      <c r="B448" s="536">
        <f>IF(D354&gt;D448,1,0)</f>
        <v>0</v>
      </c>
      <c r="C448" s="627" t="str">
        <f>C236</f>
        <v>Mean MID Score</v>
      </c>
      <c r="D448" s="614">
        <f>D236*10</f>
        <v>0</v>
      </c>
      <c r="E448" s="615">
        <v>51.4</v>
      </c>
      <c r="F448" s="639">
        <v>30.8</v>
      </c>
      <c r="G448" s="416"/>
      <c r="H448" s="175"/>
    </row>
    <row r="449" spans="2:8" x14ac:dyDescent="0.15">
      <c r="B449" s="517"/>
      <c r="C449" s="617" t="str">
        <f>C238</f>
        <v>Severe Dissociation Score (Items 'Passed')</v>
      </c>
      <c r="D449" s="614">
        <f>D238</f>
        <v>0</v>
      </c>
      <c r="E449" s="615">
        <v>128.5</v>
      </c>
      <c r="F449" s="639">
        <v>82.6</v>
      </c>
      <c r="G449" s="416"/>
      <c r="H449" s="175"/>
    </row>
    <row r="450" spans="2:8" x14ac:dyDescent="0.15">
      <c r="B450" s="517"/>
      <c r="C450" s="613"/>
      <c r="D450" s="614"/>
      <c r="E450" s="615"/>
      <c r="F450" s="639"/>
      <c r="G450" s="416"/>
    </row>
    <row r="451" spans="2:8" x14ac:dyDescent="0.15">
      <c r="B451" s="517"/>
      <c r="C451" s="617" t="s">
        <v>2</v>
      </c>
      <c r="D451" s="614"/>
      <c r="E451" s="615"/>
      <c r="F451" s="639"/>
      <c r="G451" s="416"/>
    </row>
    <row r="452" spans="2:8" x14ac:dyDescent="0.15">
      <c r="B452" s="517"/>
      <c r="C452" s="613" t="str">
        <f>C34</f>
        <v>Memory Problems</v>
      </c>
      <c r="D452" s="614">
        <f>D34*10</f>
        <v>0</v>
      </c>
      <c r="E452" s="615">
        <v>62.7</v>
      </c>
      <c r="F452" s="639">
        <v>42.9</v>
      </c>
      <c r="G452" s="416"/>
    </row>
    <row r="453" spans="2:8" x14ac:dyDescent="0.15">
      <c r="B453" s="517"/>
      <c r="C453" s="613" t="str">
        <f>C38</f>
        <v>Depersonalization</v>
      </c>
      <c r="D453" s="614">
        <f>D38*10</f>
        <v>0</v>
      </c>
      <c r="E453" s="615">
        <v>52.7</v>
      </c>
      <c r="F453" s="639">
        <v>26.7</v>
      </c>
      <c r="G453" s="416"/>
    </row>
    <row r="454" spans="2:8" x14ac:dyDescent="0.15">
      <c r="B454" s="517"/>
      <c r="C454" s="613" t="str">
        <f>C42</f>
        <v>Derealization</v>
      </c>
      <c r="D454" s="614">
        <f>D42*10</f>
        <v>0</v>
      </c>
      <c r="E454" s="615">
        <v>47.3</v>
      </c>
      <c r="F454" s="639">
        <v>30.3</v>
      </c>
      <c r="G454" s="416"/>
    </row>
    <row r="455" spans="2:8" x14ac:dyDescent="0.15">
      <c r="B455" s="517"/>
      <c r="C455" s="613" t="str">
        <f>C46</f>
        <v>Flashbacks</v>
      </c>
      <c r="D455" s="614">
        <f>D46*10</f>
        <v>0</v>
      </c>
      <c r="E455" s="615">
        <v>54.6</v>
      </c>
      <c r="F455" s="639">
        <v>46</v>
      </c>
      <c r="G455" s="416"/>
    </row>
    <row r="456" spans="2:8" x14ac:dyDescent="0.15">
      <c r="B456" s="517"/>
      <c r="C456" s="613" t="str">
        <f>C50</f>
        <v>Somatoform Symptoms</v>
      </c>
      <c r="D456" s="614">
        <f>D50*10</f>
        <v>0</v>
      </c>
      <c r="E456" s="615">
        <v>22.7</v>
      </c>
      <c r="F456" s="639">
        <v>16.3</v>
      </c>
      <c r="G456" s="416"/>
    </row>
    <row r="457" spans="2:8" x14ac:dyDescent="0.15">
      <c r="B457" s="517"/>
      <c r="C457" s="613" t="str">
        <f>C54</f>
        <v>Trance</v>
      </c>
      <c r="D457" s="614">
        <f>D54*10</f>
        <v>0</v>
      </c>
      <c r="E457" s="615">
        <v>49.6</v>
      </c>
      <c r="F457" s="639">
        <v>31.4</v>
      </c>
      <c r="G457" s="416"/>
    </row>
    <row r="458" spans="2:8" x14ac:dyDescent="0.15">
      <c r="B458" s="517"/>
      <c r="C458" s="613" t="str">
        <f>C58</f>
        <v>Identity Confusion</v>
      </c>
      <c r="D458" s="618">
        <f>D58*10</f>
        <v>0</v>
      </c>
      <c r="E458" s="615">
        <v>70.400000000000006</v>
      </c>
      <c r="F458" s="639">
        <v>46.6</v>
      </c>
      <c r="G458" s="416"/>
    </row>
    <row r="459" spans="2:8" x14ac:dyDescent="0.15">
      <c r="B459" s="517"/>
      <c r="C459" s="613" t="str">
        <f>C62</f>
        <v>Voices</v>
      </c>
      <c r="D459" s="614">
        <f>D62*10</f>
        <v>0</v>
      </c>
      <c r="E459" s="615">
        <v>55.6</v>
      </c>
      <c r="F459" s="639">
        <v>27.2</v>
      </c>
      <c r="G459" s="416"/>
    </row>
    <row r="460" spans="2:8" x14ac:dyDescent="0.15">
      <c r="B460" s="517"/>
      <c r="C460" s="613" t="str">
        <f>C66</f>
        <v>Ego-Alien Experiences</v>
      </c>
      <c r="D460" s="614">
        <f>D66*10</f>
        <v>0</v>
      </c>
      <c r="E460" s="615">
        <v>57.9</v>
      </c>
      <c r="F460" s="639">
        <v>37.5</v>
      </c>
      <c r="G460" s="416"/>
    </row>
    <row r="461" spans="2:8" x14ac:dyDescent="0.15">
      <c r="B461" s="517"/>
      <c r="C461" s="613" t="str">
        <f>C70</f>
        <v>Experiences of Self-Alteration</v>
      </c>
      <c r="D461" s="614">
        <f>D70*10</f>
        <v>0</v>
      </c>
      <c r="E461" s="615">
        <v>49.5</v>
      </c>
      <c r="F461" s="639">
        <v>24.6</v>
      </c>
      <c r="G461" s="416"/>
    </row>
    <row r="462" spans="2:8" x14ac:dyDescent="0.15">
      <c r="B462" s="517"/>
      <c r="C462" s="613" t="str">
        <f>C74</f>
        <v>Self-States and Alters</v>
      </c>
      <c r="D462" s="614">
        <f>D74*10</f>
        <v>0</v>
      </c>
      <c r="E462" s="615">
        <v>65.400000000000006</v>
      </c>
      <c r="F462" s="639">
        <v>22.6</v>
      </c>
      <c r="G462" s="416"/>
    </row>
    <row r="463" spans="2:8" x14ac:dyDescent="0.15">
      <c r="B463" s="517"/>
      <c r="C463" s="613" t="str">
        <f>C78</f>
        <v>Discontinuities of Time (Time Gaps)</v>
      </c>
      <c r="D463" s="614">
        <f>D78*10</f>
        <v>0</v>
      </c>
      <c r="E463" s="615">
        <v>46.4</v>
      </c>
      <c r="F463" s="639">
        <v>26.4</v>
      </c>
      <c r="G463" s="416"/>
    </row>
    <row r="464" spans="2:8" x14ac:dyDescent="0.15">
      <c r="B464" s="517"/>
      <c r="C464" s="613" t="str">
        <f>C82</f>
        <v>Disremembered / Discovered Behavior</v>
      </c>
      <c r="D464" s="614">
        <f>D82*10</f>
        <v>0</v>
      </c>
      <c r="E464" s="615">
        <v>39</v>
      </c>
      <c r="F464" s="639">
        <v>22.8</v>
      </c>
      <c r="G464" s="416"/>
    </row>
    <row r="465" spans="1:8" x14ac:dyDescent="0.15">
      <c r="B465" s="517"/>
      <c r="C465" s="613"/>
      <c r="D465" s="614"/>
      <c r="E465" s="615"/>
      <c r="F465" s="639"/>
      <c r="G465" s="416"/>
    </row>
    <row r="466" spans="1:8" x14ac:dyDescent="0.15">
      <c r="B466" s="517"/>
      <c r="C466" s="617" t="s">
        <v>774</v>
      </c>
      <c r="D466" s="614"/>
      <c r="E466" s="615"/>
      <c r="F466" s="639"/>
      <c r="G466" s="416"/>
    </row>
    <row r="467" spans="1:8" x14ac:dyDescent="0.15">
      <c r="B467" s="517"/>
      <c r="C467" s="617" t="str">
        <f>C11</f>
        <v>Defensiveness / Minimization</v>
      </c>
      <c r="D467" s="614">
        <f>D11*10</f>
        <v>100</v>
      </c>
      <c r="E467" s="615">
        <v>35.6</v>
      </c>
      <c r="F467" s="639">
        <v>41.8</v>
      </c>
      <c r="G467" s="416"/>
    </row>
    <row r="468" spans="1:8" x14ac:dyDescent="0.15">
      <c r="B468" s="517"/>
      <c r="C468" s="613" t="str">
        <f>C23</f>
        <v>Rare Symptoms</v>
      </c>
      <c r="D468" s="614">
        <f>D23*10</f>
        <v>0</v>
      </c>
      <c r="E468" s="615">
        <v>4</v>
      </c>
      <c r="F468" s="639">
        <v>10.6</v>
      </c>
      <c r="G468" s="416"/>
    </row>
    <row r="469" spans="1:8" x14ac:dyDescent="0.15">
      <c r="B469" s="536">
        <f>IF(D469&gt;E469,1,0)</f>
        <v>0</v>
      </c>
      <c r="C469" s="613" t="str">
        <f>C15</f>
        <v>Emotional Suffering</v>
      </c>
      <c r="D469" s="614">
        <f>D15*10</f>
        <v>0</v>
      </c>
      <c r="E469" s="615">
        <v>54.4</v>
      </c>
      <c r="F469" s="639">
        <v>62.1</v>
      </c>
      <c r="G469" s="416"/>
    </row>
    <row r="470" spans="1:8" x14ac:dyDescent="0.15">
      <c r="A470" s="414"/>
      <c r="B470" s="536">
        <f>IF(D470&gt;E470,1,0)</f>
        <v>0</v>
      </c>
      <c r="C470" s="613" t="str">
        <f>C19</f>
        <v>Attention-Seeking Behavior</v>
      </c>
      <c r="D470" s="614">
        <f>D19*10</f>
        <v>0</v>
      </c>
      <c r="E470" s="615">
        <v>20.5</v>
      </c>
      <c r="F470" s="639">
        <v>38.299999999999997</v>
      </c>
      <c r="G470" s="416"/>
    </row>
    <row r="471" spans="1:8" x14ac:dyDescent="0.15">
      <c r="B471" s="536">
        <f>IF(D471&gt;E471,1,0)</f>
        <v>0</v>
      </c>
      <c r="C471" s="613" t="str">
        <f>C27</f>
        <v>Factitious Behavior</v>
      </c>
      <c r="D471" s="614">
        <f>D27*10</f>
        <v>0</v>
      </c>
      <c r="E471" s="615">
        <v>5.8</v>
      </c>
      <c r="F471" s="639">
        <v>21.2</v>
      </c>
      <c r="G471" s="416"/>
    </row>
    <row r="472" spans="1:8" ht="14" thickBot="1" x14ac:dyDescent="0.2">
      <c r="B472" s="517"/>
      <c r="C472" s="619" t="str">
        <f>C132</f>
        <v>Psychosis Screen</v>
      </c>
      <c r="D472" s="620">
        <f>D132*10</f>
        <v>0</v>
      </c>
      <c r="E472" s="621">
        <v>4.3</v>
      </c>
      <c r="F472" s="640">
        <v>11.1</v>
      </c>
      <c r="G472" s="416"/>
    </row>
    <row r="475" spans="1:8" x14ac:dyDescent="0.15">
      <c r="B475" s="517"/>
      <c r="C475" s="529" t="s">
        <v>760</v>
      </c>
      <c r="D475" s="530" t="str">
        <f>IF(Questions!$B$3="","Test-taker",Questions!$B$3)</f>
        <v>Test-taker</v>
      </c>
      <c r="E475" s="531" t="s">
        <v>10</v>
      </c>
      <c r="F475" s="531" t="s">
        <v>728</v>
      </c>
      <c r="G475" s="135"/>
      <c r="H475" s="39"/>
    </row>
    <row r="476" spans="1:8" ht="14" thickBot="1" x14ac:dyDescent="0.2">
      <c r="B476" s="517"/>
      <c r="C476" s="532"/>
      <c r="D476" s="533"/>
      <c r="E476" s="532"/>
      <c r="F476" s="532"/>
    </row>
    <row r="477" spans="1:8" x14ac:dyDescent="0.15">
      <c r="B477" s="517"/>
      <c r="C477" s="617"/>
      <c r="D477" s="614"/>
      <c r="E477" s="615"/>
      <c r="F477" s="639"/>
      <c r="G477" s="416"/>
    </row>
    <row r="478" spans="1:8" x14ac:dyDescent="0.15">
      <c r="B478" s="517"/>
      <c r="C478" s="613" t="str">
        <f>C34</f>
        <v>Memory Problems</v>
      </c>
      <c r="D478" s="641">
        <f>D35*100</f>
        <v>0</v>
      </c>
      <c r="E478" s="615">
        <v>196.2</v>
      </c>
      <c r="F478" s="639">
        <v>148</v>
      </c>
      <c r="G478" s="416"/>
      <c r="H478" s="175"/>
    </row>
    <row r="479" spans="1:8" x14ac:dyDescent="0.15">
      <c r="B479" s="517"/>
      <c r="C479" s="613" t="str">
        <f>C38</f>
        <v>Depersonalization</v>
      </c>
      <c r="D479" s="614">
        <f>D39*100</f>
        <v>0</v>
      </c>
      <c r="E479" s="615">
        <v>228.7</v>
      </c>
      <c r="F479" s="639">
        <v>117.5</v>
      </c>
      <c r="G479" s="416"/>
      <c r="H479" s="175"/>
    </row>
    <row r="480" spans="1:8" x14ac:dyDescent="0.15">
      <c r="B480" s="517"/>
      <c r="C480" s="613" t="str">
        <f>C42</f>
        <v>Derealization</v>
      </c>
      <c r="D480" s="614">
        <f>D43*100</f>
        <v>0</v>
      </c>
      <c r="E480" s="615">
        <v>230.7</v>
      </c>
      <c r="F480" s="639">
        <v>157.30000000000001</v>
      </c>
      <c r="G480" s="416"/>
    </row>
    <row r="481" spans="1:7" x14ac:dyDescent="0.15">
      <c r="B481" s="517"/>
      <c r="C481" s="613" t="str">
        <f>C46</f>
        <v>Flashbacks</v>
      </c>
      <c r="D481" s="614">
        <f>+D47*100</f>
        <v>0</v>
      </c>
      <c r="E481" s="615">
        <v>201.9</v>
      </c>
      <c r="F481" s="639">
        <v>171</v>
      </c>
      <c r="G481" s="416"/>
    </row>
    <row r="482" spans="1:7" x14ac:dyDescent="0.15">
      <c r="B482" s="517"/>
      <c r="C482" s="613" t="str">
        <f>C50</f>
        <v>Somatoform Symptoms</v>
      </c>
      <c r="D482" s="614">
        <f>D51*100</f>
        <v>0</v>
      </c>
      <c r="E482" s="615">
        <v>145.30000000000001</v>
      </c>
      <c r="F482" s="639">
        <v>100.8</v>
      </c>
      <c r="G482" s="416"/>
    </row>
    <row r="483" spans="1:7" x14ac:dyDescent="0.15">
      <c r="B483" s="517"/>
      <c r="C483" s="613" t="str">
        <f>C54</f>
        <v>Trance</v>
      </c>
      <c r="D483" s="614">
        <f>D55*100</f>
        <v>0</v>
      </c>
      <c r="E483" s="615">
        <v>186.2</v>
      </c>
      <c r="F483" s="639">
        <v>128</v>
      </c>
      <c r="G483" s="416"/>
    </row>
    <row r="484" spans="1:7" x14ac:dyDescent="0.15">
      <c r="B484" s="517"/>
      <c r="C484" s="613" t="str">
        <f>C58</f>
        <v>Identity Confusion</v>
      </c>
      <c r="D484" s="618">
        <f>D59*100</f>
        <v>0</v>
      </c>
      <c r="E484" s="615">
        <v>177.3</v>
      </c>
      <c r="F484" s="639">
        <v>127.7</v>
      </c>
      <c r="G484" s="416"/>
    </row>
    <row r="485" spans="1:7" x14ac:dyDescent="0.15">
      <c r="B485" s="517"/>
      <c r="C485" s="613" t="str">
        <f>C62</f>
        <v>Voices</v>
      </c>
      <c r="D485" s="614">
        <f>D63*100</f>
        <v>0</v>
      </c>
      <c r="E485" s="615">
        <v>157.4</v>
      </c>
      <c r="F485" s="639">
        <v>80.3</v>
      </c>
      <c r="G485" s="416"/>
    </row>
    <row r="486" spans="1:7" x14ac:dyDescent="0.15">
      <c r="B486" s="517"/>
      <c r="C486" s="613" t="str">
        <f>C66</f>
        <v>Ego-Alien Experiences</v>
      </c>
      <c r="D486" s="614">
        <f>D67*100</f>
        <v>0</v>
      </c>
      <c r="E486" s="615">
        <v>165.8</v>
      </c>
      <c r="F486" s="639">
        <v>114.8</v>
      </c>
      <c r="G486" s="416"/>
    </row>
    <row r="487" spans="1:7" x14ac:dyDescent="0.15">
      <c r="B487" s="517"/>
      <c r="C487" s="613" t="str">
        <f>C70</f>
        <v>Experiences of Self-Alteration</v>
      </c>
      <c r="D487" s="614">
        <f>D71*100</f>
        <v>0</v>
      </c>
      <c r="E487" s="615">
        <v>233.4</v>
      </c>
      <c r="F487" s="639">
        <v>122.8</v>
      </c>
      <c r="G487" s="416"/>
    </row>
    <row r="488" spans="1:7" x14ac:dyDescent="0.15">
      <c r="B488" s="517"/>
      <c r="C488" s="613" t="str">
        <f>C74</f>
        <v>Self-States and Alters</v>
      </c>
      <c r="D488" s="614">
        <f>D75*100</f>
        <v>0</v>
      </c>
      <c r="E488" s="615">
        <v>326.60000000000002</v>
      </c>
      <c r="F488" s="639">
        <v>137.69999999999999</v>
      </c>
      <c r="G488" s="416"/>
    </row>
    <row r="489" spans="1:7" x14ac:dyDescent="0.15">
      <c r="B489" s="517"/>
      <c r="C489" s="613" t="str">
        <f>C78</f>
        <v>Discontinuities of Time (Time Gaps)</v>
      </c>
      <c r="D489" s="614">
        <f>D79*100</f>
        <v>0</v>
      </c>
      <c r="E489" s="615">
        <v>227.7</v>
      </c>
      <c r="F489" s="639">
        <v>136</v>
      </c>
      <c r="G489" s="416"/>
    </row>
    <row r="490" spans="1:7" ht="14" thickBot="1" x14ac:dyDescent="0.2">
      <c r="B490" s="517"/>
      <c r="C490" s="619" t="str">
        <f>C82</f>
        <v>Disremembered / Discovered Behavior</v>
      </c>
      <c r="D490" s="620">
        <f>D83*100</f>
        <v>0</v>
      </c>
      <c r="E490" s="621">
        <v>258.10000000000002</v>
      </c>
      <c r="F490" s="622">
        <v>155.30000000000001</v>
      </c>
      <c r="G490" s="416"/>
    </row>
    <row r="492" spans="1:7" ht="14" customHeight="1" x14ac:dyDescent="0.15">
      <c r="B492" s="510" t="s">
        <v>746</v>
      </c>
      <c r="C492" s="511"/>
      <c r="D492" s="512"/>
    </row>
    <row r="493" spans="1:7" ht="14" thickBot="1" x14ac:dyDescent="0.2">
      <c r="A493" s="596" t="b">
        <v>1</v>
      </c>
      <c r="B493" s="510"/>
      <c r="C493" s="694" t="s">
        <v>758</v>
      </c>
      <c r="D493" s="694"/>
    </row>
    <row r="494" spans="1:7" ht="97" customHeight="1" thickBot="1" x14ac:dyDescent="0.2">
      <c r="A494" s="596"/>
      <c r="B494" s="510"/>
      <c r="C494" s="691" t="str" cm="1">
        <f t="array" ref="C494">_xlfn.IFS(C498,D498,C497,D497,C496,D496,TRUE,D495)</f>
        <v>Defensiveness / Minimization appears to be elevated, which usually indicates under-reporting on other MID scales. This does not invalidate the MID results, but may provide insight into the test-taker's attachment history, self-awareness, and any tendency to minimize their symptoms. Carefully examine both elevated Mean Scores and clinically significant items and symptoms in Criterion A, B, and C in terms of the Validity and Characterological Scales scoring and the test-taker's known/reported history and presentation. Consult the MID Dissociation and Diagnostic Scales Graphs for further context.</v>
      </c>
      <c r="D494" s="692"/>
    </row>
    <row r="495" spans="1:7" ht="67" customHeight="1" x14ac:dyDescent="0.15">
      <c r="A495" s="596"/>
      <c r="B495" s="510"/>
      <c r="C495" s="479"/>
      <c r="D495" s="481" t="s">
        <v>781</v>
      </c>
      <c r="F495" s="466"/>
    </row>
    <row r="496" spans="1:7" ht="120" customHeight="1" x14ac:dyDescent="0.15">
      <c r="A496" s="596"/>
      <c r="B496" s="510"/>
      <c r="C496" s="462" t="b">
        <f>AND(OR(D12&gt;0,B349=1),B400=1)</f>
        <v>0</v>
      </c>
      <c r="D496" s="666" t="s">
        <v>817</v>
      </c>
      <c r="F496" s="466"/>
    </row>
    <row r="497" spans="1:6" ht="164" customHeight="1" x14ac:dyDescent="0.15">
      <c r="A497" s="596"/>
      <c r="B497" s="510"/>
      <c r="C497" s="595" t="b">
        <f>OR(AND(OR(B349=1,I391=1,B448=1),D12&lt;2,F533&gt;0,F533&lt;3,I349=0),AND(D12&gt;0,D12&lt;3,B400=0))</f>
        <v>0</v>
      </c>
      <c r="D497" s="666" t="s">
        <v>842</v>
      </c>
      <c r="F497" s="466"/>
    </row>
    <row r="498" spans="1:6" ht="166" customHeight="1" x14ac:dyDescent="0.15">
      <c r="A498" s="596" t="s">
        <v>735</v>
      </c>
      <c r="B498" s="510"/>
      <c r="C498" s="595" t="b">
        <f>OR(AND(I349=1,B391=1,B400=0,OR(D12&gt;1,B448=1),OR(I391=1,F533&gt;2)),I349=1,D12&gt;2)</f>
        <v>1</v>
      </c>
      <c r="D498" s="667" t="s">
        <v>841</v>
      </c>
    </row>
    <row r="499" spans="1:6" ht="14" customHeight="1" thickBot="1" x14ac:dyDescent="0.2">
      <c r="A499" s="596" t="b">
        <v>1</v>
      </c>
      <c r="B499" s="510"/>
      <c r="C499" s="690" t="s">
        <v>745</v>
      </c>
      <c r="D499" s="690"/>
      <c r="E499" s="175"/>
    </row>
    <row r="500" spans="1:6" ht="58" customHeight="1" thickBot="1" x14ac:dyDescent="0.2">
      <c r="A500" s="596"/>
      <c r="B500" s="510"/>
      <c r="C500" s="691" t="str">
        <f>INDEX(C501:D504,MATCH(A499,C501:C504,0),2)</f>
        <v>No elevation is evident in the I Have DID Scale relative to the I Have Parts Scale. A possible lack of conscious awareness of Criterion B symptoms is suggested, when comparing those scales with test-taker's I Have Parts Scale score. Consult Criterion B and C, as well as the Self-State Activity and Schneiderian First-Rank Symptoms Scales, for further context.</v>
      </c>
      <c r="D500" s="692"/>
      <c r="E500" s="175"/>
    </row>
    <row r="501" spans="1:6" ht="120" customHeight="1" x14ac:dyDescent="0.15">
      <c r="A501" s="596"/>
      <c r="B501" s="510"/>
      <c r="C501" s="482" t="b">
        <f>AND(I400=1,B400=0, B186&gt;4,_CritB9+_CritC&gt;=2)</f>
        <v>0</v>
      </c>
      <c r="D501" s="479" t="s">
        <v>849</v>
      </c>
      <c r="E501" s="668"/>
      <c r="F501" s="175"/>
    </row>
    <row r="502" spans="1:6" ht="107" customHeight="1" x14ac:dyDescent="0.15">
      <c r="A502" s="596"/>
      <c r="B502" s="510"/>
      <c r="C502" s="595" t="b">
        <f>AND(OR(B186&gt;4,B215&lt;=1),B401=1)</f>
        <v>1</v>
      </c>
      <c r="D502" s="483" t="s">
        <v>845</v>
      </c>
      <c r="E502" s="669"/>
    </row>
    <row r="503" spans="1:6" ht="30" customHeight="1" x14ac:dyDescent="0.15">
      <c r="A503" s="596"/>
      <c r="B503" s="510"/>
      <c r="C503" s="595" t="b">
        <f>B400=0</f>
        <v>1</v>
      </c>
      <c r="D503" s="462" t="s">
        <v>747</v>
      </c>
    </row>
    <row r="504" spans="1:6" ht="95" customHeight="1" x14ac:dyDescent="0.15">
      <c r="A504" s="596"/>
      <c r="B504" s="510"/>
      <c r="C504" s="461" t="b">
        <f>B400=1</f>
        <v>0</v>
      </c>
      <c r="D504" s="462" t="s">
        <v>830</v>
      </c>
    </row>
    <row r="505" spans="1:6" ht="14" customHeight="1" thickBot="1" x14ac:dyDescent="0.2">
      <c r="A505" s="596" t="b">
        <v>1</v>
      </c>
      <c r="B505" s="510"/>
      <c r="C505" s="693" t="s">
        <v>737</v>
      </c>
      <c r="D505" s="693"/>
    </row>
    <row r="506" spans="1:6" ht="83" customHeight="1" thickBot="1" x14ac:dyDescent="0.2">
      <c r="A506" s="596">
        <f>B350+B351+B353+B416</f>
        <v>0</v>
      </c>
      <c r="B506" s="510"/>
      <c r="C506" s="691" t="str">
        <f>IFERROR(INDEX(C507:D509,MATCH(A505,C507:C509,0), 2),D507)</f>
        <v>Characterological Scales, particularly Emotional Suffering, suggest possible under-reporting of symptom features. Contextualize this in terms of test-taker's known/reported trauma history and presentation, as well as the Self-State Activity, Schneiderian First-Rank Symptom, and Criterion B Scales.</v>
      </c>
      <c r="D506" s="692"/>
    </row>
    <row r="507" spans="1:6" ht="94" customHeight="1" x14ac:dyDescent="0.15">
      <c r="A507" s="596"/>
      <c r="B507" s="510"/>
      <c r="C507" s="480" t="b">
        <f>AND(A506=0,OR(I350=0,B408=0))</f>
        <v>0</v>
      </c>
      <c r="D507" s="479" t="s">
        <v>858</v>
      </c>
    </row>
    <row r="508" spans="1:6" ht="94" customHeight="1" x14ac:dyDescent="0.15">
      <c r="A508" s="596"/>
      <c r="B508" s="510"/>
      <c r="C508" s="461" t="b">
        <f>AND(I350=1,B408=1)</f>
        <v>1</v>
      </c>
      <c r="D508" s="483" t="s">
        <v>859</v>
      </c>
    </row>
    <row r="509" spans="1:6" ht="144" customHeight="1" x14ac:dyDescent="0.15">
      <c r="A509" s="596"/>
      <c r="B509" s="510"/>
      <c r="C509" s="468" t="b">
        <f>A506&gt;=1</f>
        <v>0</v>
      </c>
      <c r="D509" s="483" t="s">
        <v>832</v>
      </c>
    </row>
    <row r="510" spans="1:6" ht="16" customHeight="1" thickBot="1" x14ac:dyDescent="0.2">
      <c r="A510" s="596" t="b">
        <v>1</v>
      </c>
      <c r="B510" s="510"/>
      <c r="C510" s="690" t="s">
        <v>734</v>
      </c>
      <c r="D510" s="690"/>
    </row>
    <row r="511" spans="1:6" ht="40" customHeight="1" thickBot="1" x14ac:dyDescent="0.2">
      <c r="A511" s="596"/>
      <c r="B511" s="510"/>
      <c r="C511" s="691" t="str">
        <f>IFERROR(INDEX(C512:D515,MATCH(A510,C512:C515,0), 2),D513)</f>
        <v>No evidence of Rare Symptoms or psychosis, per test-taker's self-report.</v>
      </c>
      <c r="D511" s="692"/>
    </row>
    <row r="512" spans="1:6" ht="29" customHeight="1" x14ac:dyDescent="0.15">
      <c r="A512" s="596"/>
      <c r="B512" s="510"/>
      <c r="C512" s="482" t="b">
        <f>AND(D24=0,D133=0)</f>
        <v>1</v>
      </c>
      <c r="D512" s="481" t="s">
        <v>748</v>
      </c>
    </row>
    <row r="513" spans="1:18" ht="57" customHeight="1" x14ac:dyDescent="0.15">
      <c r="A513" s="596"/>
      <c r="B513" s="510"/>
      <c r="C513" s="484"/>
      <c r="D513" s="483" t="s">
        <v>839</v>
      </c>
    </row>
    <row r="514" spans="1:18" ht="55" customHeight="1" x14ac:dyDescent="0.15">
      <c r="A514" s="596"/>
      <c r="B514" s="510"/>
      <c r="C514" s="483" t="b">
        <f>AND(B410=1,D133=0)</f>
        <v>0</v>
      </c>
      <c r="D514" s="483" t="s">
        <v>848</v>
      </c>
    </row>
    <row r="515" spans="1:18" ht="57" customHeight="1" x14ac:dyDescent="0.15">
      <c r="A515" s="596"/>
      <c r="B515" s="510"/>
      <c r="C515" s="461" t="b">
        <f>OR(B410=1,B411=1,D133&gt;2)</f>
        <v>0</v>
      </c>
      <c r="D515" s="483" t="s">
        <v>852</v>
      </c>
    </row>
    <row r="516" spans="1:18" ht="14" customHeight="1" x14ac:dyDescent="0.15">
      <c r="A516" s="596"/>
      <c r="B516" s="510"/>
      <c r="C516" s="513"/>
      <c r="D516" s="512"/>
    </row>
    <row r="517" spans="1:18" x14ac:dyDescent="0.15">
      <c r="A517" s="596"/>
      <c r="C517" s="1"/>
      <c r="D517" s="16"/>
      <c r="E517" s="1"/>
      <c r="F517" s="1"/>
      <c r="G517" s="1"/>
      <c r="H517" s="1"/>
    </row>
    <row r="518" spans="1:18" x14ac:dyDescent="0.15">
      <c r="A518" s="596"/>
      <c r="B518" s="470" t="s">
        <v>12</v>
      </c>
      <c r="C518" s="672"/>
      <c r="D518" s="673"/>
      <c r="E518" s="1"/>
      <c r="F518" s="1"/>
      <c r="G518" s="1"/>
      <c r="H518" s="1"/>
    </row>
    <row r="519" spans="1:18" s="40" customFormat="1" ht="57" customHeight="1" x14ac:dyDescent="0.15">
      <c r="A519" s="597"/>
      <c r="B519" s="471">
        <v>0</v>
      </c>
      <c r="C519" s="695" t="s">
        <v>838</v>
      </c>
      <c r="D519" s="695"/>
      <c r="E519" s="3"/>
      <c r="F519" s="3"/>
      <c r="G519" s="3"/>
      <c r="H519" s="3"/>
      <c r="R519" s="41"/>
    </row>
    <row r="520" spans="1:18" ht="44" customHeight="1" x14ac:dyDescent="0.15">
      <c r="A520" s="596"/>
      <c r="B520" s="471">
        <v>8</v>
      </c>
      <c r="C520" s="703" t="s">
        <v>837</v>
      </c>
      <c r="D520" s="703"/>
      <c r="E520" s="3"/>
      <c r="F520" s="3"/>
      <c r="G520" s="1"/>
      <c r="H520" s="1"/>
    </row>
    <row r="521" spans="1:18" ht="31" customHeight="1" x14ac:dyDescent="0.15">
      <c r="A521" s="596"/>
      <c r="B521" s="471">
        <v>15</v>
      </c>
      <c r="C521" s="703" t="s">
        <v>836</v>
      </c>
      <c r="D521" s="703"/>
      <c r="E521" s="3"/>
      <c r="F521" s="3"/>
      <c r="G521" s="1"/>
      <c r="H521" s="1"/>
    </row>
    <row r="522" spans="1:18" ht="17" customHeight="1" x14ac:dyDescent="0.15">
      <c r="A522" s="596"/>
      <c r="B522" s="471">
        <v>21</v>
      </c>
      <c r="C522" s="703" t="s">
        <v>802</v>
      </c>
      <c r="D522" s="703"/>
      <c r="E522" s="3"/>
      <c r="F522" s="3"/>
      <c r="G522" s="1"/>
      <c r="H522" s="1"/>
    </row>
    <row r="523" spans="1:18" ht="17" customHeight="1" x14ac:dyDescent="0.15">
      <c r="A523" s="596"/>
      <c r="B523" s="471">
        <v>31</v>
      </c>
      <c r="C523" s="703" t="s">
        <v>803</v>
      </c>
      <c r="D523" s="703"/>
      <c r="E523" s="3"/>
      <c r="F523" s="3"/>
      <c r="G523" s="1"/>
      <c r="H523" s="1"/>
    </row>
    <row r="524" spans="1:18" ht="32" customHeight="1" x14ac:dyDescent="0.15">
      <c r="A524" s="596"/>
      <c r="B524" s="471">
        <v>41</v>
      </c>
      <c r="C524" s="703" t="s">
        <v>744</v>
      </c>
      <c r="D524" s="703"/>
      <c r="E524" s="3"/>
      <c r="F524" s="3"/>
      <c r="G524" s="1"/>
      <c r="H524" s="1"/>
    </row>
    <row r="525" spans="1:18" ht="46" customHeight="1" x14ac:dyDescent="0.15">
      <c r="A525" s="596"/>
      <c r="B525" s="471">
        <v>65</v>
      </c>
      <c r="C525" s="702" t="s">
        <v>814</v>
      </c>
      <c r="D525" s="702"/>
      <c r="E525" s="3"/>
      <c r="F525" s="3"/>
    </row>
    <row r="526" spans="1:18" x14ac:dyDescent="0.15">
      <c r="A526" s="596"/>
      <c r="B526" s="471">
        <v>101</v>
      </c>
      <c r="C526" s="506"/>
      <c r="D526" s="507"/>
    </row>
    <row r="527" spans="1:18" x14ac:dyDescent="0.15">
      <c r="A527" s="596"/>
    </row>
    <row r="528" spans="1:18" x14ac:dyDescent="0.15">
      <c r="A528" s="596"/>
    </row>
    <row r="529" spans="1:17" ht="14" thickBot="1" x14ac:dyDescent="0.2">
      <c r="A529" s="596" t="b">
        <v>1</v>
      </c>
      <c r="B529" s="472" t="s">
        <v>727</v>
      </c>
      <c r="C529" s="473"/>
      <c r="D529" s="467"/>
    </row>
    <row r="530" spans="1:17" x14ac:dyDescent="0.15">
      <c r="A530" s="598"/>
      <c r="B530" s="472"/>
      <c r="C530" s="696" t="str">
        <f>IFERROR(INDEX(C532:D539,MATCH(A529,C532:C539,0), 2),D535)</f>
        <v>Nondissociative, but with overt indication of under-reporting: Refer to Validity and Characterological Scales scoring for further context</v>
      </c>
      <c r="D530" s="697"/>
      <c r="E530" s="17"/>
      <c r="I530" s="701"/>
      <c r="J530" s="701"/>
      <c r="K530" s="701"/>
      <c r="L530" s="701"/>
      <c r="M530" s="701"/>
      <c r="N530" s="701"/>
      <c r="O530" s="701"/>
      <c r="P530" s="701"/>
      <c r="Q530" s="701"/>
    </row>
    <row r="531" spans="1:17" ht="14" thickBot="1" x14ac:dyDescent="0.2">
      <c r="A531" s="596"/>
      <c r="B531" s="473"/>
      <c r="C531" s="698"/>
      <c r="D531" s="699"/>
      <c r="E531" s="40"/>
      <c r="F531" s="700" t="s">
        <v>786</v>
      </c>
      <c r="G531" s="700"/>
      <c r="I531" s="40"/>
      <c r="J531" s="40"/>
      <c r="K531" s="40"/>
      <c r="L531" s="40"/>
      <c r="M531" s="40"/>
      <c r="N531" s="40"/>
      <c r="O531" s="40"/>
      <c r="P531" s="40"/>
      <c r="Q531" s="40"/>
    </row>
    <row r="532" spans="1:17" ht="42" customHeight="1" x14ac:dyDescent="0.15">
      <c r="A532" s="596"/>
      <c r="B532" s="472"/>
      <c r="C532" s="461" t="b">
        <f>OR(AND(_CritA+_CritB+_CritC&lt;3,_CritB=0,_CritC=0,B408=0),AND(_CritA+_CritB+_CritC&lt;3,_CritB=0,_CritC=0,OR(AND(I349=0,B391=0,OR(D12&lt;1,B448=0),OR(I391=0,F533&lt;2)),I349=0)))</f>
        <v>0</v>
      </c>
      <c r="D532" s="462" t="s">
        <v>850</v>
      </c>
      <c r="F532" s="474">
        <f>B56</f>
        <v>0</v>
      </c>
      <c r="G532" s="599" t="s">
        <v>782</v>
      </c>
    </row>
    <row r="533" spans="1:17" ht="42" customHeight="1" x14ac:dyDescent="0.15">
      <c r="A533" s="596"/>
      <c r="B533" s="472"/>
      <c r="C533" s="175" t="b">
        <f>AND(_CritA+_CritB+_CritC&lt;3,OR(AND(I349=1,B391=1,OR(D12&gt;1,B448=1),OR(I391=1,F533&gt;2)),I349=1,D12&gt;1))</f>
        <v>1</v>
      </c>
      <c r="D533" s="174" t="s">
        <v>851</v>
      </c>
      <c r="F533" s="474">
        <f>B186</f>
        <v>0</v>
      </c>
      <c r="G533" s="599" t="s">
        <v>783</v>
      </c>
    </row>
    <row r="534" spans="1:17" ht="42" customHeight="1" x14ac:dyDescent="0.15">
      <c r="A534" s="596"/>
      <c r="B534" s="472"/>
      <c r="C534" s="484" t="b">
        <f>AND((_CritA+_CritB+_CritC)&lt;3,_CritB&gt;0)</f>
        <v>0</v>
      </c>
      <c r="D534" s="483" t="s">
        <v>847</v>
      </c>
      <c r="F534" s="474">
        <f>A177</f>
        <v>0</v>
      </c>
      <c r="G534" s="599" t="s">
        <v>784</v>
      </c>
    </row>
    <row r="535" spans="1:17" ht="42" customHeight="1" x14ac:dyDescent="0.15">
      <c r="A535" s="596"/>
      <c r="B535" s="472"/>
      <c r="C535" s="484" t="b">
        <f>AND((_CritA+_CritB+_CritC)&gt;2,(_CritA+_CritB+_CritC)&lt;6)</f>
        <v>0</v>
      </c>
      <c r="D535" s="483" t="s">
        <v>846</v>
      </c>
      <c r="F535" s="600">
        <f>B215</f>
        <v>0</v>
      </c>
      <c r="G535" s="599" t="s">
        <v>785</v>
      </c>
    </row>
    <row r="536" spans="1:17" ht="15" customHeight="1" x14ac:dyDescent="0.15">
      <c r="A536" s="596"/>
      <c r="B536" s="472"/>
      <c r="C536" s="484" t="b">
        <f>AND(_CritA+_CritB+_CritC&gt;5,_CritA+_CritB+_CritC&lt;9)</f>
        <v>0</v>
      </c>
      <c r="D536" s="483" t="s">
        <v>815</v>
      </c>
      <c r="E536" s="14"/>
    </row>
    <row r="537" spans="1:17" ht="41" customHeight="1" x14ac:dyDescent="0.15">
      <c r="A537" s="596"/>
      <c r="B537" s="472"/>
      <c r="C537" s="484" t="b">
        <f>AND(_CritA&gt;2,_CritB&gt;4,_CritA+_CritB+_CritC&gt;8,_CritB9&lt;=1,_CritC&gt;0,_CritB9+_CritC&lt;2)</f>
        <v>0</v>
      </c>
      <c r="D537" s="483" t="s">
        <v>824</v>
      </c>
      <c r="E537" s="14"/>
    </row>
    <row r="538" spans="1:17" ht="41" customHeight="1" x14ac:dyDescent="0.15">
      <c r="A538" s="596"/>
      <c r="B538" s="472"/>
      <c r="C538" s="484" t="b">
        <f>AND(_CritA&gt;2,_CritB&gt;4,_CritA+_CritB&gt;8,_CritC&lt;1)</f>
        <v>0</v>
      </c>
      <c r="D538" s="483" t="s">
        <v>840</v>
      </c>
      <c r="E538" s="175"/>
      <c r="G538" s="176"/>
    </row>
    <row r="539" spans="1:17" ht="43" customHeight="1" x14ac:dyDescent="0.15">
      <c r="A539" s="596"/>
      <c r="B539" s="472"/>
      <c r="C539" s="484" t="b">
        <f>AND(_CritA&gt;3,_CritB&gt;5,(_CritB9+_CritC)&gt;1)</f>
        <v>0</v>
      </c>
      <c r="D539" s="483" t="s">
        <v>843</v>
      </c>
    </row>
    <row r="540" spans="1:17" x14ac:dyDescent="0.15">
      <c r="A540" s="596"/>
      <c r="B540" s="472"/>
      <c r="C540" s="473"/>
      <c r="D540" s="467"/>
    </row>
    <row r="541" spans="1:17" x14ac:dyDescent="0.15">
      <c r="A541" s="596"/>
    </row>
    <row r="542" spans="1:17" x14ac:dyDescent="0.15">
      <c r="A542" s="596"/>
      <c r="B542" s="470" t="s">
        <v>314</v>
      </c>
      <c r="C542" s="674"/>
      <c r="D542" s="675"/>
    </row>
    <row r="543" spans="1:17" ht="15" customHeight="1" x14ac:dyDescent="0.15">
      <c r="A543" s="598"/>
      <c r="B543" s="470"/>
      <c r="C543" s="461">
        <v>0</v>
      </c>
      <c r="D543" s="462" t="s">
        <v>403</v>
      </c>
    </row>
    <row r="544" spans="1:17" ht="27" customHeight="1" x14ac:dyDescent="0.15">
      <c r="A544" s="596"/>
      <c r="B544" s="470"/>
      <c r="C544" s="484">
        <v>10</v>
      </c>
      <c r="D544" s="483" t="s">
        <v>813</v>
      </c>
    </row>
    <row r="545" spans="1:7" ht="39" customHeight="1" x14ac:dyDescent="0.15">
      <c r="A545" s="596"/>
      <c r="B545" s="470"/>
      <c r="C545" s="484">
        <v>20</v>
      </c>
      <c r="D545" s="505" t="s">
        <v>810</v>
      </c>
    </row>
    <row r="546" spans="1:7" ht="39" customHeight="1" x14ac:dyDescent="0.15">
      <c r="A546" s="596"/>
      <c r="B546" s="470"/>
      <c r="C546" s="484">
        <v>30</v>
      </c>
      <c r="D546" s="505" t="s">
        <v>809</v>
      </c>
    </row>
    <row r="547" spans="1:7" ht="40" customHeight="1" x14ac:dyDescent="0.15">
      <c r="A547" s="596"/>
      <c r="B547" s="470"/>
      <c r="C547" s="484">
        <v>40</v>
      </c>
      <c r="D547" s="483" t="s">
        <v>811</v>
      </c>
    </row>
    <row r="548" spans="1:7" ht="41" customHeight="1" x14ac:dyDescent="0.15">
      <c r="A548" s="596"/>
      <c r="B548" s="470"/>
      <c r="C548" s="484">
        <v>50</v>
      </c>
      <c r="D548" s="483" t="s">
        <v>812</v>
      </c>
    </row>
    <row r="549" spans="1:7" x14ac:dyDescent="0.15">
      <c r="A549" s="596"/>
      <c r="B549" s="470"/>
      <c r="C549" s="645"/>
      <c r="D549" s="507"/>
    </row>
    <row r="550" spans="1:7" x14ac:dyDescent="0.15">
      <c r="A550" s="596"/>
      <c r="C550" s="123"/>
    </row>
    <row r="551" spans="1:7" ht="14" thickBot="1" x14ac:dyDescent="0.2">
      <c r="A551" s="596" t="b">
        <v>1</v>
      </c>
      <c r="B551" s="477" t="s">
        <v>738</v>
      </c>
      <c r="C551" s="406"/>
      <c r="D551" s="478"/>
    </row>
    <row r="552" spans="1:7" ht="28" customHeight="1" thickBot="1" x14ac:dyDescent="0.2">
      <c r="A552" s="598"/>
      <c r="B552" s="477"/>
      <c r="C552" s="691" t="str">
        <f>INDEX(C553:D555,MATCH(A551,C553:C555,0),2)</f>
        <v>Criterion not met for Posttraumatic Stress Disorder: Review DSM/ICD criteria for PTSD and clinically significant MID Criterion A and B symptoms</v>
      </c>
      <c r="D552" s="692"/>
      <c r="E552" s="17"/>
    </row>
    <row r="553" spans="1:7" ht="43" customHeight="1" x14ac:dyDescent="0.15">
      <c r="A553" s="596"/>
      <c r="B553" s="477"/>
      <c r="C553" s="480" t="b">
        <f>AND(_CritA4&lt;1,_CritA2+_CritA3&lt;3)</f>
        <v>1</v>
      </c>
      <c r="D553" s="479" t="s">
        <v>829</v>
      </c>
      <c r="F553" s="404">
        <f>A47</f>
        <v>0</v>
      </c>
      <c r="G553" s="405" t="s">
        <v>419</v>
      </c>
    </row>
    <row r="554" spans="1:7" ht="28" x14ac:dyDescent="0.15">
      <c r="A554" s="596"/>
      <c r="B554" s="477"/>
      <c r="C554" s="461" t="b">
        <f>AND(_CritA4&gt;0,_CritA2&lt;1,_CritA3&lt;1)</f>
        <v>0</v>
      </c>
      <c r="D554" s="462" t="s">
        <v>827</v>
      </c>
      <c r="F554" s="406">
        <f>A39</f>
        <v>0</v>
      </c>
      <c r="G554" s="405" t="s">
        <v>420</v>
      </c>
    </row>
    <row r="555" spans="1:7" ht="31" customHeight="1" x14ac:dyDescent="0.15">
      <c r="A555" s="596"/>
      <c r="B555" s="477"/>
      <c r="C555" s="676" t="b">
        <f>AND(_CritA4&gt;0,_CritA2+_CritA3&gt;0)</f>
        <v>0</v>
      </c>
      <c r="D555" s="483" t="s">
        <v>828</v>
      </c>
      <c r="F555" s="406">
        <f>A43</f>
        <v>0</v>
      </c>
      <c r="G555" s="405" t="s">
        <v>421</v>
      </c>
    </row>
    <row r="556" spans="1:7" x14ac:dyDescent="0.15">
      <c r="A556" s="596"/>
      <c r="B556" s="477"/>
      <c r="C556" s="508"/>
      <c r="D556" s="509"/>
      <c r="G556" s="476"/>
    </row>
    <row r="557" spans="1:7" x14ac:dyDescent="0.15">
      <c r="A557" s="596"/>
      <c r="C557" s="175"/>
      <c r="D557" s="119"/>
      <c r="G557" s="476"/>
    </row>
    <row r="558" spans="1:7" ht="14" thickBot="1" x14ac:dyDescent="0.2">
      <c r="A558" s="596"/>
      <c r="B558" s="477" t="s">
        <v>739</v>
      </c>
      <c r="C558" s="406"/>
      <c r="D558" s="478"/>
    </row>
    <row r="559" spans="1:7" ht="28" customHeight="1" thickBot="1" x14ac:dyDescent="0.2">
      <c r="A559" s="596" t="b">
        <v>1</v>
      </c>
      <c r="B559" s="477"/>
      <c r="C559" s="691" t="str">
        <f>INDEX(C560:D563,MATCH(A559,C560:C563,0),2)</f>
        <v>No somatization reported</v>
      </c>
      <c r="D559" s="692"/>
      <c r="E559" s="4"/>
    </row>
    <row r="560" spans="1:7" ht="15" customHeight="1" x14ac:dyDescent="0.15">
      <c r="A560" s="643">
        <f>SUM(B469:B471)</f>
        <v>0</v>
      </c>
      <c r="B560" s="477">
        <v>0</v>
      </c>
      <c r="C560" s="504" t="b">
        <f>AND(F560=B560)</f>
        <v>1</v>
      </c>
      <c r="D560" s="503" t="s">
        <v>732</v>
      </c>
      <c r="F560" s="485">
        <f>D361</f>
        <v>0</v>
      </c>
    </row>
    <row r="561" spans="1:7" ht="42" x14ac:dyDescent="0.15">
      <c r="A561" s="596"/>
      <c r="B561" s="644">
        <v>99</v>
      </c>
      <c r="C561" s="484" t="b">
        <f>AND((F560&gt;B560),(F560&lt;=B561))</f>
        <v>0</v>
      </c>
      <c r="D561" s="483" t="s">
        <v>808</v>
      </c>
      <c r="F561" s="419"/>
    </row>
    <row r="562" spans="1:7" ht="42" customHeight="1" x14ac:dyDescent="0.15">
      <c r="A562" s="596"/>
      <c r="B562" s="644">
        <v>100</v>
      </c>
      <c r="C562" s="484" t="b">
        <f>AND((F560&lt;B563),(F560&gt;=B562))</f>
        <v>0</v>
      </c>
      <c r="D562" s="483" t="s">
        <v>825</v>
      </c>
      <c r="E562" s="1"/>
      <c r="F562" s="1"/>
      <c r="G562" s="1"/>
    </row>
    <row r="563" spans="1:7" ht="43" customHeight="1" x14ac:dyDescent="0.15">
      <c r="A563" s="596"/>
      <c r="B563" s="644">
        <v>151</v>
      </c>
      <c r="C563" s="484" t="b">
        <f>AND(F560&gt;=B563)</f>
        <v>0</v>
      </c>
      <c r="D563" s="483" t="s">
        <v>826</v>
      </c>
      <c r="E563" s="1"/>
      <c r="F563" s="1"/>
      <c r="G563" s="1"/>
    </row>
    <row r="564" spans="1:7" x14ac:dyDescent="0.15">
      <c r="A564" s="596"/>
      <c r="B564" s="644"/>
      <c r="C564" s="406"/>
      <c r="D564" s="478"/>
    </row>
    <row r="565" spans="1:7" x14ac:dyDescent="0.15">
      <c r="B565" s="42"/>
    </row>
    <row r="566" spans="1:7" x14ac:dyDescent="0.15">
      <c r="B566" s="42"/>
    </row>
    <row r="567" spans="1:7" x14ac:dyDescent="0.15">
      <c r="B567" s="42"/>
    </row>
    <row r="568" spans="1:7" x14ac:dyDescent="0.15">
      <c r="B568" s="42"/>
    </row>
    <row r="569" spans="1:7" x14ac:dyDescent="0.15">
      <c r="B569" s="42"/>
    </row>
    <row r="570" spans="1:7" x14ac:dyDescent="0.15">
      <c r="B570" s="42"/>
    </row>
    <row r="571" spans="1:7" x14ac:dyDescent="0.15">
      <c r="B571" s="42"/>
    </row>
    <row r="572" spans="1:7" x14ac:dyDescent="0.15">
      <c r="B572" s="42"/>
    </row>
    <row r="573" spans="1:7" x14ac:dyDescent="0.15">
      <c r="B573" s="42"/>
    </row>
    <row r="574" spans="1:7" x14ac:dyDescent="0.15">
      <c r="B574" s="42"/>
    </row>
  </sheetData>
  <sheetProtection algorithmName="SHA-512" hashValue="qh94EeUJq//gfZw3SRTMDeawRvsRqw9Q0kT7qnSfPJELBWYbR/kwTHGSwbL7R98lEMEmUHufo9yC62G9oLUZDw==" saltValue="TnYkQbF1+FY5a8Sh17tC4A==" spinCount="100000" sheet="1" objects="1" scenarios="1"/>
  <customSheetViews>
    <customSheetView guid="{B1378614-543A-7248-A620-ABE87072D4CE}" scale="178" topLeftCell="A41">
      <selection activeCell="A51" sqref="A51"/>
      <pageMargins left="0.75" right="0.75" top="1" bottom="1" header="0.5" footer="0.5"/>
      <pageSetup orientation="portrait" horizontalDpi="300" verticalDpi="300" r:id="rId1"/>
    </customSheetView>
    <customSheetView guid="{DB569172-C410-4CCD-B270-56E8B6227EED}" scale="178" topLeftCell="A41">
      <selection activeCell="A51" sqref="A51"/>
      <pageMargins left="0.75" right="0.75" top="1" bottom="1" header="0.5" footer="0.5"/>
      <pageSetup orientation="portrait" horizontalDpi="300" verticalDpi="300" r:id="rId2"/>
    </customSheetView>
  </customSheetViews>
  <mergeCells count="22">
    <mergeCell ref="I530:Q530"/>
    <mergeCell ref="C525:D525"/>
    <mergeCell ref="C520:D520"/>
    <mergeCell ref="C521:D521"/>
    <mergeCell ref="C522:D522"/>
    <mergeCell ref="C523:D523"/>
    <mergeCell ref="C524:D524"/>
    <mergeCell ref="C559:D559"/>
    <mergeCell ref="C552:D552"/>
    <mergeCell ref="C519:D519"/>
    <mergeCell ref="C530:D531"/>
    <mergeCell ref="F531:G531"/>
    <mergeCell ref="A2:C2"/>
    <mergeCell ref="E6:H6"/>
    <mergeCell ref="C510:D510"/>
    <mergeCell ref="C511:D511"/>
    <mergeCell ref="C505:D505"/>
    <mergeCell ref="C499:D499"/>
    <mergeCell ref="C500:D500"/>
    <mergeCell ref="C494:D494"/>
    <mergeCell ref="C506:D506"/>
    <mergeCell ref="C493:D493"/>
  </mergeCells>
  <phoneticPr fontId="0" type="noConversion"/>
  <pageMargins left="0.75" right="0.75" top="1" bottom="1" header="0.5" footer="0.5"/>
  <pageSetup orientation="portrait" horizontalDpi="300" verticalDpi="300"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545"/>
  <sheetViews>
    <sheetView showGridLines="0" showRowColHeaders="0" showRuler="0" zoomScale="140" zoomScaleNormal="140" zoomScaleSheetLayoutView="140" zoomScalePageLayoutView="143" workbookViewId="0">
      <selection activeCell="M6" sqref="M6:P6"/>
    </sheetView>
  </sheetViews>
  <sheetFormatPr baseColWidth="10" defaultColWidth="1.1640625" defaultRowHeight="13" x14ac:dyDescent="0.15"/>
  <cols>
    <col min="1" max="1" width="0.6640625" style="33" customWidth="1"/>
    <col min="2" max="2" width="7.6640625" style="34" customWidth="1"/>
    <col min="3" max="3" width="7.5" style="34" customWidth="1"/>
    <col min="4" max="4" width="8.6640625" style="34" customWidth="1"/>
    <col min="5" max="5" width="0.6640625" style="33" customWidth="1"/>
    <col min="6" max="6" width="9.6640625" style="33" customWidth="1"/>
    <col min="7" max="7" width="6.83203125" style="33" customWidth="1"/>
    <col min="8" max="8" width="12.6640625" style="33" customWidth="1"/>
    <col min="9" max="9" width="6.5" style="33" customWidth="1"/>
    <col min="10" max="10" width="11" style="33" customWidth="1"/>
    <col min="11" max="11" width="1.1640625" style="33" customWidth="1"/>
    <col min="12" max="12" width="16.83203125" style="33" customWidth="1"/>
    <col min="13" max="13" width="4.6640625" style="33" customWidth="1"/>
    <col min="14" max="14" width="9.5" style="33" customWidth="1"/>
    <col min="15" max="15" width="10.6640625" style="33" customWidth="1"/>
    <col min="16" max="16" width="7.33203125" style="33" customWidth="1"/>
    <col min="17" max="17" width="3.83203125" style="33" customWidth="1"/>
    <col min="18" max="18" width="0.5" style="33" customWidth="1"/>
    <col min="19" max="20" width="1.1640625" style="33" customWidth="1"/>
    <col min="21" max="16384" width="1.1640625" style="33"/>
  </cols>
  <sheetData>
    <row r="1" spans="1:19" s="32" customFormat="1" ht="18" x14ac:dyDescent="0.2">
      <c r="A1" s="740" t="s">
        <v>396</v>
      </c>
      <c r="B1" s="740"/>
      <c r="C1" s="740"/>
      <c r="D1" s="740"/>
      <c r="E1" s="740"/>
      <c r="F1" s="740"/>
      <c r="G1" s="740"/>
      <c r="H1" s="740"/>
      <c r="I1" s="740"/>
      <c r="J1" s="740"/>
      <c r="K1" s="740"/>
      <c r="L1" s="740"/>
      <c r="M1" s="740"/>
      <c r="N1" s="740"/>
      <c r="O1" s="740"/>
      <c r="P1" s="740"/>
      <c r="Q1" s="740"/>
      <c r="R1" s="740"/>
      <c r="S1" s="564"/>
    </row>
    <row r="2" spans="1:19" s="32" customFormat="1" ht="17" x14ac:dyDescent="0.2">
      <c r="A2" s="742" t="s">
        <v>343</v>
      </c>
      <c r="B2" s="742"/>
      <c r="C2" s="742"/>
      <c r="D2" s="742"/>
      <c r="E2" s="742"/>
      <c r="F2" s="742"/>
      <c r="G2" s="742"/>
      <c r="H2" s="742"/>
      <c r="I2" s="742"/>
      <c r="J2" s="742"/>
      <c r="K2" s="742"/>
      <c r="L2" s="742"/>
      <c r="M2" s="742"/>
      <c r="N2" s="742"/>
      <c r="O2" s="742"/>
      <c r="P2" s="742"/>
      <c r="Q2" s="742"/>
      <c r="R2" s="742"/>
    </row>
    <row r="3" spans="1:19" x14ac:dyDescent="0.15">
      <c r="A3" s="741" t="s">
        <v>736</v>
      </c>
      <c r="B3" s="741"/>
      <c r="C3" s="741"/>
      <c r="D3" s="741"/>
      <c r="E3" s="741"/>
      <c r="F3" s="741"/>
      <c r="G3" s="741"/>
      <c r="H3" s="741"/>
      <c r="I3" s="741"/>
      <c r="J3" s="741"/>
      <c r="K3" s="741"/>
      <c r="L3" s="741"/>
      <c r="M3" s="741"/>
      <c r="N3" s="741"/>
      <c r="O3" s="741"/>
      <c r="P3" s="741"/>
      <c r="Q3" s="741"/>
      <c r="R3" s="741"/>
    </row>
    <row r="4" spans="1:19" ht="12" customHeight="1" x14ac:dyDescent="0.15">
      <c r="B4" s="966" t="s">
        <v>844</v>
      </c>
      <c r="C4" s="966"/>
      <c r="D4" s="966"/>
      <c r="E4" s="966"/>
      <c r="F4" s="966"/>
      <c r="G4" s="966"/>
      <c r="H4" s="966"/>
      <c r="I4" s="966"/>
      <c r="J4" s="966"/>
      <c r="K4" s="966"/>
      <c r="L4" s="966"/>
      <c r="M4" s="966"/>
      <c r="N4" s="966"/>
      <c r="O4" s="966"/>
      <c r="P4" s="966"/>
      <c r="Q4" s="966"/>
    </row>
    <row r="5" spans="1:19" ht="3" customHeight="1" x14ac:dyDescent="0.15">
      <c r="B5" s="264"/>
      <c r="C5" s="264"/>
      <c r="D5" s="264"/>
      <c r="E5" s="264"/>
      <c r="F5" s="264"/>
      <c r="G5" s="264"/>
      <c r="H5" s="264"/>
      <c r="I5" s="264"/>
      <c r="J5" s="264"/>
      <c r="K5" s="264"/>
      <c r="L5" s="264"/>
      <c r="M5" s="264"/>
      <c r="N5" s="264"/>
      <c r="O5" s="264"/>
      <c r="P5" s="264"/>
      <c r="Q5" s="264"/>
    </row>
    <row r="6" spans="1:19" x14ac:dyDescent="0.15">
      <c r="B6" s="939" t="s">
        <v>397</v>
      </c>
      <c r="C6" s="939"/>
      <c r="D6" s="47" t="str">
        <f>IF(ISBLANK(Questions!B3), "No Client ID provided",Questions!B3)</f>
        <v>No Client ID provided</v>
      </c>
      <c r="E6" s="47"/>
      <c r="F6" s="47"/>
      <c r="G6" s="265"/>
      <c r="H6" s="265"/>
      <c r="I6" s="266"/>
      <c r="J6" s="266"/>
      <c r="K6" s="266"/>
      <c r="L6" s="267" t="s">
        <v>346</v>
      </c>
      <c r="M6" s="979">
        <f ca="1">IF(ISBLANK(Questions!B6), TODAY(),Questions!B6)</f>
        <v>44925</v>
      </c>
      <c r="N6" s="979"/>
      <c r="O6" s="979"/>
      <c r="P6" s="979"/>
      <c r="Q6" s="266"/>
    </row>
    <row r="7" spans="1:19" x14ac:dyDescent="0.15">
      <c r="B7" s="939" t="s">
        <v>344</v>
      </c>
      <c r="C7" s="939"/>
      <c r="D7" s="268" t="str">
        <f>IF(ISBLANK(Questions!B4), "None specified",Questions!B4)</f>
        <v>None specified</v>
      </c>
      <c r="E7" s="268"/>
      <c r="F7" s="268"/>
      <c r="G7" s="266"/>
      <c r="H7" s="266"/>
      <c r="I7" s="266"/>
      <c r="J7" s="266"/>
      <c r="K7" s="266"/>
      <c r="L7" s="267" t="s">
        <v>347</v>
      </c>
      <c r="M7" s="977" t="str">
        <f>IF(ISBLANK(Questions!B7), "None specified",Questions!B7)</f>
        <v>None specified</v>
      </c>
      <c r="N7" s="977"/>
      <c r="O7" s="977"/>
      <c r="P7" s="977"/>
      <c r="Q7" s="266"/>
    </row>
    <row r="8" spans="1:19" x14ac:dyDescent="0.15">
      <c r="B8" s="939" t="s">
        <v>345</v>
      </c>
      <c r="C8" s="939"/>
      <c r="D8" s="399" t="str">
        <f>IF(ISBLANK(Questions!B5), "None specified",Questions!B5)</f>
        <v>None specified</v>
      </c>
      <c r="E8" s="269"/>
      <c r="F8" s="269"/>
      <c r="G8" s="266"/>
      <c r="H8" s="266"/>
      <c r="I8" s="266"/>
      <c r="J8" s="266"/>
      <c r="K8" s="266"/>
      <c r="L8" s="267" t="s">
        <v>348</v>
      </c>
      <c r="M8" s="978" t="str">
        <f>IF(ISBLANK(Questions!B8), "None specified",Questions!B8)</f>
        <v>None specified</v>
      </c>
      <c r="N8" s="978"/>
      <c r="O8" s="978"/>
      <c r="P8" s="978"/>
      <c r="Q8" s="266"/>
    </row>
    <row r="9" spans="1:19" ht="4" customHeight="1" thickBot="1" x14ac:dyDescent="0.2">
      <c r="B9" s="267"/>
      <c r="C9" s="267"/>
      <c r="D9" s="269"/>
      <c r="E9" s="269"/>
      <c r="F9" s="269"/>
      <c r="G9" s="266"/>
      <c r="H9" s="266"/>
      <c r="I9" s="266"/>
      <c r="J9" s="266"/>
      <c r="K9" s="266"/>
      <c r="L9" s="267"/>
      <c r="M9" s="399"/>
      <c r="N9" s="399"/>
      <c r="O9" s="399"/>
      <c r="P9" s="399"/>
      <c r="Q9" s="266"/>
    </row>
    <row r="10" spans="1:19" ht="15.75" customHeight="1" x14ac:dyDescent="0.15">
      <c r="B10" s="972" t="s">
        <v>723</v>
      </c>
      <c r="C10" s="973"/>
      <c r="D10" s="973"/>
      <c r="E10" s="973"/>
      <c r="F10" s="973"/>
      <c r="G10" s="973"/>
      <c r="H10" s="973"/>
      <c r="I10" s="973"/>
      <c r="J10" s="973"/>
      <c r="K10" s="973"/>
      <c r="L10" s="973"/>
      <c r="M10" s="973"/>
      <c r="N10" s="973"/>
      <c r="O10" s="973"/>
      <c r="P10" s="973"/>
      <c r="Q10" s="974"/>
    </row>
    <row r="11" spans="1:19" ht="13.5" customHeight="1" x14ac:dyDescent="0.15">
      <c r="B11" s="937" t="s">
        <v>835</v>
      </c>
      <c r="C11" s="938"/>
      <c r="D11" s="938"/>
      <c r="E11" s="938"/>
      <c r="F11" s="938"/>
      <c r="G11" s="938"/>
      <c r="H11" s="938"/>
      <c r="I11" s="938"/>
      <c r="J11" s="938"/>
      <c r="K11" s="938"/>
      <c r="L11" s="938"/>
      <c r="M11" s="938"/>
      <c r="N11" s="938"/>
      <c r="O11" s="938"/>
      <c r="P11" s="213"/>
      <c r="Q11" s="214"/>
    </row>
    <row r="12" spans="1:19" s="670" customFormat="1" ht="13.5" customHeight="1" x14ac:dyDescent="0.15">
      <c r="B12" s="745" t="s">
        <v>816</v>
      </c>
      <c r="C12" s="746"/>
      <c r="D12" s="746"/>
      <c r="E12" s="671"/>
      <c r="F12" s="749" t="str">
        <f>Calculations!C552</f>
        <v>Criterion not met for Posttraumatic Stress Disorder: Review DSM/ICD criteria for PTSD and clinically significant MID Criterion A and B symptoms</v>
      </c>
      <c r="G12" s="749"/>
      <c r="H12" s="749"/>
      <c r="I12" s="749"/>
      <c r="J12" s="749"/>
      <c r="K12" s="749"/>
      <c r="L12" s="749"/>
      <c r="M12" s="749"/>
      <c r="N12" s="749"/>
      <c r="O12" s="749"/>
      <c r="P12" s="749"/>
      <c r="Q12" s="750"/>
    </row>
    <row r="13" spans="1:19" ht="13.5" customHeight="1" x14ac:dyDescent="0.15">
      <c r="B13" s="747" t="s">
        <v>387</v>
      </c>
      <c r="C13" s="748"/>
      <c r="D13" s="748"/>
      <c r="E13" s="571"/>
      <c r="F13" s="586" t="str">
        <f>Calculations!C530</f>
        <v>Nondissociative, but with overt indication of under-reporting: Refer to Validity and Characterological Scales scoring for further context</v>
      </c>
      <c r="G13" s="586"/>
      <c r="H13" s="586"/>
      <c r="I13" s="586"/>
      <c r="J13" s="586"/>
      <c r="K13" s="586"/>
      <c r="L13" s="586"/>
      <c r="M13" s="586"/>
      <c r="N13" s="586"/>
      <c r="O13" s="586"/>
      <c r="P13" s="586"/>
      <c r="Q13" s="655"/>
    </row>
    <row r="14" spans="1:19" ht="13.5" customHeight="1" x14ac:dyDescent="0.15">
      <c r="B14" s="747" t="s">
        <v>389</v>
      </c>
      <c r="C14" s="748"/>
      <c r="D14" s="748"/>
      <c r="E14" s="573"/>
      <c r="F14" s="751" t="str">
        <f>Calculations!C559</f>
        <v>No somatization reported</v>
      </c>
      <c r="G14" s="751"/>
      <c r="H14" s="751"/>
      <c r="I14" s="751"/>
      <c r="J14" s="751"/>
      <c r="K14" s="751"/>
      <c r="L14" s="751"/>
      <c r="M14" s="751"/>
      <c r="N14" s="751"/>
      <c r="O14" s="751"/>
      <c r="P14" s="751"/>
      <c r="Q14" s="572"/>
    </row>
    <row r="15" spans="1:19" ht="13.5" customHeight="1" x14ac:dyDescent="0.15">
      <c r="B15" s="747" t="s">
        <v>713</v>
      </c>
      <c r="C15" s="748"/>
      <c r="D15" s="748"/>
      <c r="E15" s="571"/>
      <c r="F15" s="751" t="str">
        <f>LOOKUP(H39,Calculations!C543:C548,Calculations!D543:D548)</f>
        <v>Clinically insignificant (or no) borderline traits reported</v>
      </c>
      <c r="G15" s="751"/>
      <c r="H15" s="751"/>
      <c r="I15" s="751"/>
      <c r="J15" s="751"/>
      <c r="K15" s="751"/>
      <c r="L15" s="751"/>
      <c r="M15" s="751"/>
      <c r="N15" s="751"/>
      <c r="O15" s="751"/>
      <c r="P15" s="751"/>
      <c r="Q15" s="572"/>
    </row>
    <row r="16" spans="1:19" ht="13" customHeight="1" x14ac:dyDescent="0.15">
      <c r="B16" s="463"/>
      <c r="C16" s="464"/>
      <c r="D16" s="464"/>
      <c r="E16" s="465"/>
      <c r="F16" s="751" t="str">
        <f>IF(Calculations!D391&lt;Calculations!D239, " ***BPD Index is higher than Mean MID Score; clarify potential influence of validity and characterological factors on overall results", " ")</f>
        <v xml:space="preserve"> </v>
      </c>
      <c r="G16" s="751"/>
      <c r="H16" s="751"/>
      <c r="I16" s="751"/>
      <c r="J16" s="751"/>
      <c r="K16" s="751"/>
      <c r="L16" s="751"/>
      <c r="M16" s="751"/>
      <c r="N16" s="751"/>
      <c r="O16" s="751"/>
      <c r="P16" s="751"/>
      <c r="Q16" s="496"/>
    </row>
    <row r="17" spans="2:17" ht="15" customHeight="1" x14ac:dyDescent="0.15">
      <c r="B17" s="945" t="s">
        <v>801</v>
      </c>
      <c r="C17" s="946"/>
      <c r="D17" s="946"/>
      <c r="E17" s="946"/>
      <c r="F17" s="946"/>
      <c r="G17" s="946"/>
      <c r="H17" s="946"/>
      <c r="I17" s="946"/>
      <c r="J17" s="946"/>
      <c r="K17" s="946"/>
      <c r="L17" s="946"/>
      <c r="M17" s="946"/>
      <c r="N17" s="946"/>
      <c r="O17" s="946"/>
      <c r="P17" s="946"/>
      <c r="Q17" s="947"/>
    </row>
    <row r="18" spans="2:17" ht="13.5" customHeight="1" x14ac:dyDescent="0.15">
      <c r="B18" s="975" t="s">
        <v>833</v>
      </c>
      <c r="C18" s="976"/>
      <c r="D18" s="976"/>
      <c r="E18" s="976"/>
      <c r="F18" s="976"/>
      <c r="G18" s="976"/>
      <c r="H18" s="976"/>
      <c r="I18" s="976"/>
      <c r="J18" s="976"/>
      <c r="K18" s="976"/>
      <c r="L18" s="976"/>
      <c r="M18" s="976"/>
      <c r="N18" s="976"/>
      <c r="O18" s="976"/>
      <c r="P18" s="390"/>
      <c r="Q18" s="391"/>
    </row>
    <row r="19" spans="2:17" ht="13.5" customHeight="1" x14ac:dyDescent="0.15">
      <c r="B19" s="950" t="str">
        <f ca="1">LOOKUP(N33,Calculations!B519:B526,Calculations!C519:C525)</f>
        <v>A Mean MID Score of 0-7: Nondissociative, unless Defensiveness / Minimization is elevated. Determine whether the Defensiveness / Minimization Scale is elevated or other scales appear depressed relative to norms (see MID Dissociation and Diagnostic Graphs) and test-taker's known/reported history and presentation.</v>
      </c>
      <c r="C19" s="951"/>
      <c r="D19" s="951"/>
      <c r="E19" s="951"/>
      <c r="F19" s="951"/>
      <c r="G19" s="951"/>
      <c r="H19" s="951"/>
      <c r="I19" s="951"/>
      <c r="J19" s="951"/>
      <c r="K19" s="951"/>
      <c r="L19" s="951"/>
      <c r="M19" s="951"/>
      <c r="N19" s="951"/>
      <c r="O19" s="951"/>
      <c r="P19" s="951"/>
      <c r="Q19" s="219"/>
    </row>
    <row r="20" spans="2:17" ht="13.5" customHeight="1" x14ac:dyDescent="0.15">
      <c r="B20" s="952"/>
      <c r="C20" s="953"/>
      <c r="D20" s="953"/>
      <c r="E20" s="953"/>
      <c r="F20" s="953"/>
      <c r="G20" s="953"/>
      <c r="H20" s="953"/>
      <c r="I20" s="953"/>
      <c r="J20" s="953"/>
      <c r="K20" s="953"/>
      <c r="L20" s="953"/>
      <c r="M20" s="953"/>
      <c r="N20" s="953"/>
      <c r="O20" s="953"/>
      <c r="P20" s="953"/>
      <c r="Q20" s="220"/>
    </row>
    <row r="21" spans="2:17" s="101" customFormat="1" ht="13.5" customHeight="1" x14ac:dyDescent="0.15">
      <c r="B21" s="943" t="s">
        <v>834</v>
      </c>
      <c r="C21" s="944"/>
      <c r="D21" s="944"/>
      <c r="E21" s="944"/>
      <c r="F21" s="944"/>
      <c r="G21" s="944"/>
      <c r="H21" s="944"/>
      <c r="I21" s="944"/>
      <c r="J21" s="944"/>
      <c r="K21" s="944"/>
      <c r="L21" s="944"/>
      <c r="M21" s="944"/>
      <c r="N21" s="944"/>
      <c r="O21" s="944"/>
      <c r="P21" s="187"/>
      <c r="Q21" s="392"/>
    </row>
    <row r="22" spans="2:17" ht="13.5" customHeight="1" x14ac:dyDescent="0.15">
      <c r="B22" s="950" t="str">
        <f>Calculations!C$494</f>
        <v>Defensiveness / Minimization appears to be elevated, which usually indicates under-reporting on other MID scales. This does not invalidate the MID results, but may provide insight into the test-taker's attachment history, self-awareness, and any tendency to minimize their symptoms. Carefully examine both elevated Mean Scores and clinically significant items and symptoms in Criterion A, B, and C in terms of the Validity and Characterological Scales scoring and the test-taker's known/reported history and presentation. Consult the MID Dissociation and Diagnostic Scales Graphs for further context.</v>
      </c>
      <c r="C22" s="951"/>
      <c r="D22" s="951"/>
      <c r="E22" s="951"/>
      <c r="F22" s="951"/>
      <c r="G22" s="951"/>
      <c r="H22" s="951"/>
      <c r="I22" s="951"/>
      <c r="J22" s="951"/>
      <c r="K22" s="951"/>
      <c r="L22" s="951"/>
      <c r="M22" s="951"/>
      <c r="N22" s="951"/>
      <c r="O22" s="951"/>
      <c r="P22" s="951"/>
      <c r="Q22" s="565"/>
    </row>
    <row r="23" spans="2:17" ht="13.5" customHeight="1" x14ac:dyDescent="0.15">
      <c r="B23" s="952"/>
      <c r="C23" s="953"/>
      <c r="D23" s="953"/>
      <c r="E23" s="953"/>
      <c r="F23" s="953"/>
      <c r="G23" s="953"/>
      <c r="H23" s="953"/>
      <c r="I23" s="953"/>
      <c r="J23" s="953"/>
      <c r="K23" s="953"/>
      <c r="L23" s="953"/>
      <c r="M23" s="953"/>
      <c r="N23" s="953"/>
      <c r="O23" s="953"/>
      <c r="P23" s="953"/>
      <c r="Q23" s="566"/>
    </row>
    <row r="24" spans="2:17" ht="23" customHeight="1" x14ac:dyDescent="0.15">
      <c r="B24" s="958"/>
      <c r="C24" s="959"/>
      <c r="D24" s="959"/>
      <c r="E24" s="959"/>
      <c r="F24" s="959"/>
      <c r="G24" s="959"/>
      <c r="H24" s="959"/>
      <c r="I24" s="959"/>
      <c r="J24" s="959"/>
      <c r="K24" s="959"/>
      <c r="L24" s="959"/>
      <c r="M24" s="959"/>
      <c r="N24" s="959"/>
      <c r="O24" s="959"/>
      <c r="P24" s="959"/>
      <c r="Q24" s="567"/>
    </row>
    <row r="25" spans="2:17" ht="13.5" customHeight="1" x14ac:dyDescent="0.15">
      <c r="B25" s="933" t="str">
        <f>Calculations!C$506</f>
        <v>Characterological Scales, particularly Emotional Suffering, suggest possible under-reporting of symptom features. Contextualize this in terms of test-taker's known/reported trauma history and presentation, as well as the Self-State Activity, Schneiderian First-Rank Symptom, and Criterion B Scales.</v>
      </c>
      <c r="C25" s="934"/>
      <c r="D25" s="934"/>
      <c r="E25" s="934"/>
      <c r="F25" s="934"/>
      <c r="G25" s="934"/>
      <c r="H25" s="934"/>
      <c r="I25" s="934"/>
      <c r="J25" s="934"/>
      <c r="K25" s="934"/>
      <c r="L25" s="934"/>
      <c r="M25" s="934"/>
      <c r="N25" s="934"/>
      <c r="O25" s="934"/>
      <c r="P25" s="934"/>
      <c r="Q25" s="568"/>
    </row>
    <row r="26" spans="2:17" ht="24" customHeight="1" x14ac:dyDescent="0.15">
      <c r="B26" s="935"/>
      <c r="C26" s="936"/>
      <c r="D26" s="936"/>
      <c r="E26" s="936"/>
      <c r="F26" s="936"/>
      <c r="G26" s="936"/>
      <c r="H26" s="936"/>
      <c r="I26" s="936"/>
      <c r="J26" s="936"/>
      <c r="K26" s="936"/>
      <c r="L26" s="936"/>
      <c r="M26" s="936"/>
      <c r="N26" s="936"/>
      <c r="O26" s="936"/>
      <c r="P26" s="936"/>
      <c r="Q26" s="568"/>
    </row>
    <row r="27" spans="2:17" ht="13.5" customHeight="1" x14ac:dyDescent="0.15">
      <c r="B27" s="960" t="str">
        <f>Calculations!C$511</f>
        <v>No evidence of Rare Symptoms or psychosis, per test-taker's self-report.</v>
      </c>
      <c r="C27" s="961"/>
      <c r="D27" s="961"/>
      <c r="E27" s="961"/>
      <c r="F27" s="961"/>
      <c r="G27" s="961"/>
      <c r="H27" s="961"/>
      <c r="I27" s="961"/>
      <c r="J27" s="961"/>
      <c r="K27" s="961"/>
      <c r="L27" s="961"/>
      <c r="M27" s="961"/>
      <c r="N27" s="961"/>
      <c r="O27" s="961"/>
      <c r="P27" s="961"/>
      <c r="Q27" s="962"/>
    </row>
    <row r="28" spans="2:17" ht="13.5" customHeight="1" x14ac:dyDescent="0.15">
      <c r="B28" s="954" t="str">
        <f>Calculations!C$500</f>
        <v>No elevation is evident in the I Have DID Scale relative to the I Have Parts Scale. A possible lack of conscious awareness of Criterion B symptoms is suggested, when comparing those scales with test-taker's I Have Parts Scale score. Consult Criterion B and C, as well as the Self-State Activity and Schneiderian First-Rank Symptoms Scales, for further context.</v>
      </c>
      <c r="C28" s="955"/>
      <c r="D28" s="955"/>
      <c r="E28" s="955"/>
      <c r="F28" s="955"/>
      <c r="G28" s="955"/>
      <c r="H28" s="955"/>
      <c r="I28" s="955"/>
      <c r="J28" s="955"/>
      <c r="K28" s="955"/>
      <c r="L28" s="955"/>
      <c r="M28" s="955"/>
      <c r="N28" s="955"/>
      <c r="O28" s="955"/>
      <c r="P28" s="955"/>
      <c r="Q28" s="569"/>
    </row>
    <row r="29" spans="2:17" ht="24" customHeight="1" thickBot="1" x14ac:dyDescent="0.2">
      <c r="B29" s="956"/>
      <c r="C29" s="957"/>
      <c r="D29" s="957"/>
      <c r="E29" s="957"/>
      <c r="F29" s="957"/>
      <c r="G29" s="957"/>
      <c r="H29" s="957"/>
      <c r="I29" s="957"/>
      <c r="J29" s="957"/>
      <c r="K29" s="957"/>
      <c r="L29" s="957"/>
      <c r="M29" s="957"/>
      <c r="N29" s="957"/>
      <c r="O29" s="957"/>
      <c r="P29" s="957"/>
      <c r="Q29" s="570"/>
    </row>
    <row r="30" spans="2:17" ht="8" customHeight="1" thickBot="1" x14ac:dyDescent="0.2">
      <c r="B30" s="270"/>
      <c r="C30" s="270"/>
      <c r="D30" s="270"/>
      <c r="E30" s="266"/>
      <c r="F30" s="266"/>
      <c r="G30" s="266"/>
      <c r="H30" s="266"/>
      <c r="I30" s="266"/>
      <c r="J30" s="266"/>
      <c r="K30" s="266"/>
      <c r="L30" s="266"/>
      <c r="M30" s="266"/>
      <c r="N30" s="266"/>
      <c r="O30" s="266"/>
      <c r="P30" s="266"/>
      <c r="Q30" s="266"/>
    </row>
    <row r="31" spans="2:17" ht="15.75" customHeight="1" x14ac:dyDescent="0.15">
      <c r="B31" s="130" t="s">
        <v>674</v>
      </c>
      <c r="C31" s="131"/>
      <c r="D31" s="131"/>
      <c r="E31" s="226"/>
      <c r="F31" s="226"/>
      <c r="G31" s="226"/>
      <c r="H31" s="226"/>
      <c r="I31" s="226"/>
      <c r="J31" s="221"/>
      <c r="K31" s="266"/>
      <c r="L31" s="227" t="s">
        <v>312</v>
      </c>
      <c r="M31" s="228"/>
      <c r="N31" s="228"/>
      <c r="O31" s="228"/>
      <c r="P31" s="229"/>
      <c r="Q31" s="221"/>
    </row>
    <row r="32" spans="2:17" ht="15.75" customHeight="1" x14ac:dyDescent="0.15">
      <c r="B32" s="917" t="s">
        <v>715</v>
      </c>
      <c r="C32" s="940"/>
      <c r="D32" s="940"/>
      <c r="E32" s="918"/>
      <c r="F32" s="970" t="s">
        <v>796</v>
      </c>
      <c r="G32" s="971"/>
      <c r="H32" s="967" t="s">
        <v>797</v>
      </c>
      <c r="I32" s="968"/>
      <c r="J32" s="222"/>
      <c r="K32" s="266"/>
      <c r="L32" s="917" t="s">
        <v>715</v>
      </c>
      <c r="M32" s="918"/>
      <c r="N32" s="757" t="s">
        <v>795</v>
      </c>
      <c r="O32" s="758"/>
      <c r="P32" s="230"/>
      <c r="Q32" s="231"/>
    </row>
    <row r="33" spans="1:20" ht="13.5" customHeight="1" x14ac:dyDescent="0.15">
      <c r="B33" s="839" t="s">
        <v>754</v>
      </c>
      <c r="C33" s="840"/>
      <c r="D33" s="840"/>
      <c r="E33" s="840"/>
      <c r="F33" s="763" t="str">
        <f>Calculations!D12&amp;" of 12"</f>
        <v>12 of 12</v>
      </c>
      <c r="G33" s="767"/>
      <c r="H33" s="923">
        <f>Calculations!D11*10</f>
        <v>100</v>
      </c>
      <c r="I33" s="969"/>
      <c r="J33" s="223"/>
      <c r="K33" s="271"/>
      <c r="L33" s="843" t="s">
        <v>404</v>
      </c>
      <c r="M33" s="840"/>
      <c r="N33" s="923">
        <f>Calculations!D236*10</f>
        <v>0</v>
      </c>
      <c r="O33" s="923"/>
      <c r="P33" s="232"/>
      <c r="Q33" s="233"/>
    </row>
    <row r="34" spans="1:20" ht="13.5" customHeight="1" x14ac:dyDescent="0.15">
      <c r="B34" s="844" t="s">
        <v>350</v>
      </c>
      <c r="C34" s="845"/>
      <c r="D34" s="845"/>
      <c r="E34" s="845"/>
      <c r="F34" s="941" t="str">
        <f>Calculations!D24&amp;" of 12"</f>
        <v>0 of 12</v>
      </c>
      <c r="G34" s="942"/>
      <c r="H34" s="761">
        <f>Calculations!D23*10</f>
        <v>0</v>
      </c>
      <c r="I34" s="762"/>
      <c r="J34" s="224"/>
      <c r="K34" s="271"/>
      <c r="L34" s="257"/>
      <c r="M34" s="258" t="s">
        <v>45</v>
      </c>
      <c r="N34" s="754">
        <f>Calculations!D237</f>
        <v>0</v>
      </c>
      <c r="O34" s="754"/>
      <c r="P34" s="232"/>
      <c r="Q34" s="234"/>
    </row>
    <row r="35" spans="1:20" ht="13.5" customHeight="1" x14ac:dyDescent="0.15">
      <c r="B35" s="905" t="s">
        <v>49</v>
      </c>
      <c r="C35" s="904"/>
      <c r="D35" s="904"/>
      <c r="E35" s="904"/>
      <c r="F35" s="910" t="str">
        <f>Calculations!D16&amp;" of 12"</f>
        <v>0 of 12</v>
      </c>
      <c r="G35" s="911"/>
      <c r="H35" s="900">
        <f>Calculations!D15*10</f>
        <v>0</v>
      </c>
      <c r="I35" s="900"/>
      <c r="J35" s="224"/>
      <c r="K35" s="271"/>
      <c r="L35" s="948" t="s">
        <v>7</v>
      </c>
      <c r="M35" s="949"/>
      <c r="N35" s="704">
        <f>Calculations!D242*10</f>
        <v>0</v>
      </c>
      <c r="O35" s="705"/>
      <c r="P35" s="232"/>
      <c r="Q35" s="235"/>
    </row>
    <row r="36" spans="1:20" ht="13.5" customHeight="1" x14ac:dyDescent="0.15">
      <c r="B36" s="902" t="s">
        <v>726</v>
      </c>
      <c r="C36" s="903"/>
      <c r="D36" s="903"/>
      <c r="E36" s="904"/>
      <c r="F36" s="910" t="str">
        <f>Calculations!D20&amp;" of 7"</f>
        <v>0 of 7</v>
      </c>
      <c r="G36" s="911"/>
      <c r="H36" s="900">
        <f>Calculations!D19*10</f>
        <v>0</v>
      </c>
      <c r="I36" s="900"/>
      <c r="J36" s="224"/>
      <c r="K36" s="271"/>
      <c r="L36" s="820" t="s">
        <v>6</v>
      </c>
      <c r="M36" s="821"/>
      <c r="N36" s="761">
        <f>Calculations!D246*10</f>
        <v>0</v>
      </c>
      <c r="O36" s="762"/>
      <c r="P36" s="232"/>
      <c r="Q36" s="235"/>
    </row>
    <row r="37" spans="1:20" ht="13.5" customHeight="1" x14ac:dyDescent="0.15">
      <c r="B37" s="905" t="s">
        <v>349</v>
      </c>
      <c r="C37" s="904"/>
      <c r="D37" s="904"/>
      <c r="E37" s="904"/>
      <c r="F37" s="910" t="str">
        <f>Calculations!D28&amp;" of 7"</f>
        <v>0 of 7</v>
      </c>
      <c r="G37" s="911"/>
      <c r="H37" s="900">
        <f>Calculations!D27*10</f>
        <v>0</v>
      </c>
      <c r="I37" s="900"/>
      <c r="J37" s="224"/>
      <c r="K37" s="271"/>
      <c r="L37" s="824" t="s">
        <v>8</v>
      </c>
      <c r="M37" s="825"/>
      <c r="N37" s="980">
        <f>Calculations!D250*10</f>
        <v>0</v>
      </c>
      <c r="O37" s="981"/>
      <c r="P37" s="232"/>
      <c r="Q37" s="235"/>
      <c r="S37" s="819"/>
      <c r="T37" s="819"/>
    </row>
    <row r="38" spans="1:20" ht="13.5" customHeight="1" x14ac:dyDescent="0.15">
      <c r="B38" s="647"/>
      <c r="C38" s="648"/>
      <c r="D38" s="648"/>
      <c r="E38" s="649" t="s">
        <v>72</v>
      </c>
      <c r="F38" s="908" t="str">
        <f>Calculations!D312&amp;" of 4"</f>
        <v>0 of 4</v>
      </c>
      <c r="G38" s="909"/>
      <c r="H38" s="900">
        <f>Calculations!D311</f>
        <v>0</v>
      </c>
      <c r="I38" s="901"/>
      <c r="J38" s="224"/>
      <c r="K38" s="271"/>
      <c r="L38" s="822" t="s">
        <v>818</v>
      </c>
      <c r="M38" s="823"/>
      <c r="N38" s="906" t="str">
        <f>Calculations!D251&amp;" of 31 items 'passed'"</f>
        <v>0 of 31 items 'passed'</v>
      </c>
      <c r="O38" s="907"/>
      <c r="P38" s="232"/>
      <c r="Q38" s="236"/>
    </row>
    <row r="39" spans="1:20" ht="13.5" customHeight="1" x14ac:dyDescent="0.15">
      <c r="B39" s="996" t="s">
        <v>676</v>
      </c>
      <c r="C39" s="997"/>
      <c r="D39" s="997"/>
      <c r="E39" s="998"/>
      <c r="F39" s="926" t="s">
        <v>776</v>
      </c>
      <c r="G39" s="927"/>
      <c r="H39" s="835">
        <f>Calculations!D239</f>
        <v>0</v>
      </c>
      <c r="I39" s="836"/>
      <c r="J39" s="222"/>
      <c r="K39" s="271"/>
      <c r="L39" s="826" t="s">
        <v>352</v>
      </c>
      <c r="M39" s="823"/>
      <c r="N39" s="931" t="str">
        <f>Calculations!D238&amp;" of 168 items 'passed'"</f>
        <v>0 of 168 items 'passed'</v>
      </c>
      <c r="O39" s="932"/>
      <c r="P39" s="237"/>
      <c r="Q39" s="238"/>
    </row>
    <row r="40" spans="1:20" ht="13.5" customHeight="1" thickBot="1" x14ac:dyDescent="0.2">
      <c r="B40" s="964" t="s">
        <v>675</v>
      </c>
      <c r="C40" s="965"/>
      <c r="D40" s="965"/>
      <c r="E40" s="965"/>
      <c r="F40" s="919" t="str">
        <f>SUM(Questions!D13:D230)&amp;" of 218 items endorsed as '10'"</f>
        <v>0 of 218 items endorsed as '10'</v>
      </c>
      <c r="G40" s="919"/>
      <c r="H40" s="919"/>
      <c r="I40" s="920"/>
      <c r="J40" s="225"/>
      <c r="K40" s="271"/>
      <c r="L40" s="827" t="s">
        <v>793</v>
      </c>
      <c r="M40" s="828"/>
      <c r="N40" s="1010" t="str">
        <f>Calculations!B56+Calculations!B186+Calculations!B215&amp;" of 23 symptoms"</f>
        <v>0 of 23 symptoms</v>
      </c>
      <c r="O40" s="1011"/>
      <c r="P40" s="239"/>
      <c r="Q40" s="240"/>
    </row>
    <row r="41" spans="1:20" ht="8" customHeight="1" thickBot="1" x14ac:dyDescent="0.2">
      <c r="A41" s="266"/>
      <c r="B41" s="275"/>
      <c r="C41" s="275"/>
      <c r="D41" s="275"/>
      <c r="E41" s="276"/>
      <c r="F41" s="276"/>
      <c r="G41" s="276"/>
      <c r="H41" s="276"/>
      <c r="I41" s="276"/>
      <c r="J41" s="276"/>
      <c r="K41" s="266"/>
      <c r="L41" s="271"/>
      <c r="M41" s="271"/>
      <c r="N41" s="271"/>
      <c r="O41" s="271"/>
      <c r="P41" s="271"/>
      <c r="Q41" s="271"/>
    </row>
    <row r="42" spans="1:20" ht="15.75" customHeight="1" x14ac:dyDescent="0.15">
      <c r="B42" s="1007" t="s">
        <v>673</v>
      </c>
      <c r="C42" s="1008"/>
      <c r="D42" s="1008"/>
      <c r="E42" s="1008"/>
      <c r="F42" s="1008"/>
      <c r="G42" s="1008"/>
      <c r="H42" s="1008"/>
      <c r="I42" s="1008"/>
      <c r="J42" s="1009"/>
      <c r="L42" s="585" t="s">
        <v>780</v>
      </c>
      <c r="M42" s="581"/>
      <c r="N42" s="581"/>
      <c r="O42" s="581"/>
      <c r="P42" s="581"/>
      <c r="Q42" s="582"/>
    </row>
    <row r="43" spans="1:20" ht="15.75" customHeight="1" x14ac:dyDescent="0.15">
      <c r="B43" s="914" t="s">
        <v>715</v>
      </c>
      <c r="C43" s="915"/>
      <c r="D43" s="915"/>
      <c r="E43" s="916"/>
      <c r="F43" s="921" t="s">
        <v>799</v>
      </c>
      <c r="G43" s="922"/>
      <c r="H43" s="757" t="s">
        <v>798</v>
      </c>
      <c r="I43" s="963"/>
      <c r="J43" s="179"/>
      <c r="K43" s="266"/>
      <c r="L43" s="917" t="s">
        <v>715</v>
      </c>
      <c r="M43" s="918"/>
      <c r="N43" s="757" t="s">
        <v>795</v>
      </c>
      <c r="O43" s="758"/>
      <c r="P43" s="574"/>
      <c r="Q43" s="578"/>
    </row>
    <row r="44" spans="1:20" s="101" customFormat="1" ht="13.5" customHeight="1" x14ac:dyDescent="0.15">
      <c r="B44" s="912" t="s">
        <v>611</v>
      </c>
      <c r="C44" s="913"/>
      <c r="D44" s="913"/>
      <c r="E44" s="913"/>
      <c r="F44" s="928" t="str">
        <f>Calculations!D307&amp;" of 10"</f>
        <v>0 of 10</v>
      </c>
      <c r="G44" s="929"/>
      <c r="H44" s="924">
        <f>Calculations!D306*10</f>
        <v>0</v>
      </c>
      <c r="I44" s="925"/>
      <c r="J44" s="177"/>
      <c r="K44" s="271"/>
      <c r="L44" s="839" t="s">
        <v>360</v>
      </c>
      <c r="M44" s="840"/>
      <c r="N44" s="923">
        <f>Calculations!D256*10</f>
        <v>0</v>
      </c>
      <c r="O44" s="923"/>
      <c r="P44" s="576"/>
      <c r="Q44" s="577"/>
    </row>
    <row r="45" spans="1:20" s="101" customFormat="1" ht="13.5" customHeight="1" x14ac:dyDescent="0.15">
      <c r="B45" s="839" t="s">
        <v>351</v>
      </c>
      <c r="C45" s="840"/>
      <c r="D45" s="840"/>
      <c r="E45" s="840"/>
      <c r="F45" s="763" t="str">
        <f>Calculations!D137&amp;" of 12"</f>
        <v>0 of 12</v>
      </c>
      <c r="G45" s="767"/>
      <c r="H45" s="754">
        <f>Calculations!D136*10</f>
        <v>0</v>
      </c>
      <c r="I45" s="754"/>
      <c r="J45" s="178"/>
      <c r="K45" s="271"/>
      <c r="L45" s="841" t="s">
        <v>361</v>
      </c>
      <c r="M45" s="842"/>
      <c r="N45" s="704">
        <f>Calculations!D260*10</f>
        <v>0</v>
      </c>
      <c r="O45" s="705"/>
      <c r="P45" s="576"/>
      <c r="Q45" s="583"/>
    </row>
    <row r="46" spans="1:20" s="101" customFormat="1" ht="13.5" customHeight="1" x14ac:dyDescent="0.15">
      <c r="B46" s="839" t="s">
        <v>412</v>
      </c>
      <c r="C46" s="840"/>
      <c r="D46" s="840"/>
      <c r="E46" s="840"/>
      <c r="F46" s="763" t="str">
        <f>Calculations!D133&amp;" of 4"</f>
        <v>0 of 4</v>
      </c>
      <c r="G46" s="767"/>
      <c r="H46" s="754">
        <f>Calculations!D132*10</f>
        <v>0</v>
      </c>
      <c r="I46" s="754"/>
      <c r="J46" s="178"/>
      <c r="K46" s="271"/>
      <c r="L46" s="843" t="s">
        <v>362</v>
      </c>
      <c r="M46" s="840"/>
      <c r="N46" s="754">
        <f>Calculations!D264*10</f>
        <v>0</v>
      </c>
      <c r="O46" s="930"/>
      <c r="P46" s="576"/>
      <c r="Q46" s="583"/>
    </row>
    <row r="47" spans="1:20" s="101" customFormat="1" ht="13.5" customHeight="1" thickBot="1" x14ac:dyDescent="0.2">
      <c r="B47" s="1036" t="s">
        <v>375</v>
      </c>
      <c r="C47" s="1037"/>
      <c r="D47" s="1037"/>
      <c r="E47" s="1037"/>
      <c r="F47" s="1027" t="str">
        <f>Calculations!B122&amp;" of 8 symptoms"</f>
        <v>0 of 8 symptoms</v>
      </c>
      <c r="G47" s="1028"/>
      <c r="H47" s="755">
        <f>Calculations!D124*10</f>
        <v>0</v>
      </c>
      <c r="I47" s="756"/>
      <c r="J47" s="180"/>
      <c r="K47" s="271"/>
      <c r="L47" s="844" t="s">
        <v>363</v>
      </c>
      <c r="M47" s="845"/>
      <c r="N47" s="761">
        <f>Calculations!D268*10</f>
        <v>0</v>
      </c>
      <c r="O47" s="762"/>
      <c r="P47" s="576"/>
      <c r="Q47" s="583"/>
    </row>
    <row r="48" spans="1:20" s="101" customFormat="1" ht="13.5" customHeight="1" thickBot="1" x14ac:dyDescent="0.2">
      <c r="B48" s="277"/>
      <c r="C48" s="277"/>
      <c r="D48" s="277"/>
      <c r="E48" s="271"/>
      <c r="F48" s="278"/>
      <c r="G48" s="271"/>
      <c r="H48" s="271"/>
      <c r="I48" s="271"/>
      <c r="J48" s="271"/>
      <c r="K48" s="271"/>
      <c r="L48" s="873" t="s">
        <v>588</v>
      </c>
      <c r="M48" s="874"/>
      <c r="N48" s="872">
        <f>Calculations!D272*10</f>
        <v>0</v>
      </c>
      <c r="O48" s="872"/>
      <c r="P48" s="579"/>
      <c r="Q48" s="584"/>
    </row>
    <row r="49" spans="2:17" ht="15.75" customHeight="1" thickBot="1" x14ac:dyDescent="0.2">
      <c r="B49" s="846" t="s">
        <v>777</v>
      </c>
      <c r="C49" s="847"/>
      <c r="D49" s="847"/>
      <c r="E49" s="847"/>
      <c r="F49" s="847"/>
      <c r="G49" s="847"/>
      <c r="H49" s="847"/>
      <c r="I49" s="765" t="str">
        <f>Calculations!B56&amp;" of 6 symptoms "</f>
        <v xml:space="preserve">0 of 6 symptoms </v>
      </c>
      <c r="J49" s="766"/>
      <c r="K49" s="266"/>
      <c r="L49" s="271"/>
      <c r="M49" s="271"/>
      <c r="N49" s="271"/>
      <c r="O49" s="271"/>
      <c r="P49" s="271"/>
      <c r="Q49" s="271"/>
    </row>
    <row r="50" spans="2:17" ht="15.75" customHeight="1" x14ac:dyDescent="0.15">
      <c r="B50" s="882" t="s">
        <v>715</v>
      </c>
      <c r="C50" s="883"/>
      <c r="D50" s="883"/>
      <c r="E50" s="883"/>
      <c r="F50" s="883"/>
      <c r="G50" s="884"/>
      <c r="H50" s="646" t="s">
        <v>426</v>
      </c>
      <c r="I50" s="848" t="s">
        <v>413</v>
      </c>
      <c r="J50" s="849"/>
      <c r="K50" s="266"/>
      <c r="L50" s="1012" t="s">
        <v>699</v>
      </c>
      <c r="M50" s="1013"/>
      <c r="N50" s="1013"/>
      <c r="O50" s="1013"/>
      <c r="P50" s="1013"/>
      <c r="Q50" s="1014"/>
    </row>
    <row r="51" spans="2:17" ht="15.75" customHeight="1" x14ac:dyDescent="0.15">
      <c r="B51" s="885"/>
      <c r="C51" s="886"/>
      <c r="D51" s="886"/>
      <c r="E51" s="886"/>
      <c r="F51" s="886"/>
      <c r="G51" s="887"/>
      <c r="H51" s="218" t="s">
        <v>714</v>
      </c>
      <c r="I51" s="1020" t="s">
        <v>800</v>
      </c>
      <c r="J51" s="1021"/>
      <c r="K51" s="266"/>
      <c r="L51" s="917" t="s">
        <v>715</v>
      </c>
      <c r="M51" s="918"/>
      <c r="N51" s="757" t="s">
        <v>794</v>
      </c>
      <c r="O51" s="758"/>
      <c r="P51" s="574"/>
      <c r="Q51" s="575"/>
    </row>
    <row r="52" spans="2:17" ht="13.5" customHeight="1" x14ac:dyDescent="0.15">
      <c r="B52" s="843" t="s">
        <v>355</v>
      </c>
      <c r="C52" s="840"/>
      <c r="D52" s="840"/>
      <c r="E52" s="840"/>
      <c r="F52" s="840"/>
      <c r="G52" s="840"/>
      <c r="H52" s="259">
        <f>Calculations!D317</f>
        <v>0</v>
      </c>
      <c r="I52" s="763">
        <f>Calculations!D357</f>
        <v>0</v>
      </c>
      <c r="J52" s="764"/>
      <c r="K52" s="266"/>
      <c r="L52" s="843" t="s">
        <v>376</v>
      </c>
      <c r="M52" s="840"/>
      <c r="N52" s="923">
        <f>Calculations!D92*10</f>
        <v>0</v>
      </c>
      <c r="O52" s="923"/>
      <c r="P52" s="576"/>
      <c r="Q52" s="577"/>
    </row>
    <row r="53" spans="2:17" ht="13.5" customHeight="1" x14ac:dyDescent="0.15">
      <c r="B53" s="999" t="s">
        <v>356</v>
      </c>
      <c r="C53" s="1000"/>
      <c r="D53" s="1000"/>
      <c r="E53" s="1000"/>
      <c r="F53" s="1000"/>
      <c r="G53" s="1000"/>
      <c r="H53" s="490">
        <f>Calculations!D318</f>
        <v>0</v>
      </c>
      <c r="I53" s="752">
        <f>Calculations!D358</f>
        <v>0</v>
      </c>
      <c r="J53" s="753"/>
      <c r="K53" s="266"/>
      <c r="L53" s="843" t="s">
        <v>377</v>
      </c>
      <c r="M53" s="840"/>
      <c r="N53" s="754">
        <f>Calculations!D96*10</f>
        <v>0</v>
      </c>
      <c r="O53" s="754"/>
      <c r="P53" s="576"/>
      <c r="Q53" s="578"/>
    </row>
    <row r="54" spans="2:17" ht="13.5" customHeight="1" x14ac:dyDescent="0.15">
      <c r="B54" s="1001" t="s">
        <v>357</v>
      </c>
      <c r="C54" s="1002"/>
      <c r="D54" s="1002"/>
      <c r="E54" s="1002"/>
      <c r="F54" s="1002"/>
      <c r="G54" s="1002"/>
      <c r="H54" s="491">
        <f>Calculations!D319</f>
        <v>0</v>
      </c>
      <c r="I54" s="837">
        <f>Calculations!D359</f>
        <v>0</v>
      </c>
      <c r="J54" s="838"/>
      <c r="K54" s="266"/>
      <c r="L54" s="875" t="s">
        <v>416</v>
      </c>
      <c r="M54" s="840"/>
      <c r="N54" s="754">
        <f>Calculations!D100*10</f>
        <v>0</v>
      </c>
      <c r="O54" s="754"/>
      <c r="P54" s="576"/>
      <c r="Q54" s="578"/>
    </row>
    <row r="55" spans="2:17" ht="13.5" customHeight="1" x14ac:dyDescent="0.15">
      <c r="B55" s="1003" t="s">
        <v>358</v>
      </c>
      <c r="C55" s="1004"/>
      <c r="D55" s="1004"/>
      <c r="E55" s="1004"/>
      <c r="F55" s="1004"/>
      <c r="G55" s="1004"/>
      <c r="H55" s="492">
        <f>Calculations!D320</f>
        <v>0</v>
      </c>
      <c r="I55" s="898">
        <f>Calculations!D360</f>
        <v>0</v>
      </c>
      <c r="J55" s="899"/>
      <c r="K55" s="266"/>
      <c r="L55" s="897" t="s">
        <v>417</v>
      </c>
      <c r="M55" s="840"/>
      <c r="N55" s="754">
        <f>Calculations!D104*10</f>
        <v>0</v>
      </c>
      <c r="O55" s="754"/>
      <c r="P55" s="576"/>
      <c r="Q55" s="578"/>
    </row>
    <row r="56" spans="2:17" ht="13.5" customHeight="1" x14ac:dyDescent="0.15">
      <c r="B56" s="991" t="s">
        <v>50</v>
      </c>
      <c r="C56" s="992"/>
      <c r="D56" s="992"/>
      <c r="E56" s="992"/>
      <c r="F56" s="992"/>
      <c r="G56" s="992"/>
      <c r="H56" s="263">
        <f>Calculations!D321</f>
        <v>0</v>
      </c>
      <c r="I56" s="833">
        <f>Calculations!D361</f>
        <v>0</v>
      </c>
      <c r="J56" s="834"/>
      <c r="K56" s="266"/>
      <c r="L56" s="897" t="s">
        <v>418</v>
      </c>
      <c r="M56" s="840"/>
      <c r="N56" s="754">
        <f>Calculations!D108*10</f>
        <v>0</v>
      </c>
      <c r="O56" s="754"/>
      <c r="P56" s="576"/>
      <c r="Q56" s="578"/>
    </row>
    <row r="57" spans="2:17" ht="13.5" customHeight="1" x14ac:dyDescent="0.15">
      <c r="B57" s="1005" t="s">
        <v>359</v>
      </c>
      <c r="C57" s="1006"/>
      <c r="D57" s="1006"/>
      <c r="E57" s="1006"/>
      <c r="F57" s="1006"/>
      <c r="G57" s="1006"/>
      <c r="H57" s="261">
        <f>Calculations!D322</f>
        <v>0</v>
      </c>
      <c r="I57" s="831">
        <f>Calculations!D362</f>
        <v>0</v>
      </c>
      <c r="J57" s="832"/>
      <c r="K57" s="266"/>
      <c r="L57" s="839" t="s">
        <v>724</v>
      </c>
      <c r="M57" s="840"/>
      <c r="N57" s="754">
        <f>Calculations!D112*10</f>
        <v>0</v>
      </c>
      <c r="O57" s="754"/>
      <c r="P57" s="576"/>
      <c r="Q57" s="578"/>
    </row>
    <row r="58" spans="2:17" ht="15.75" customHeight="1" x14ac:dyDescent="0.15">
      <c r="B58" s="759" t="s">
        <v>778</v>
      </c>
      <c r="C58" s="760"/>
      <c r="D58" s="760"/>
      <c r="E58" s="760"/>
      <c r="F58" s="760"/>
      <c r="G58" s="760"/>
      <c r="H58" s="760"/>
      <c r="I58" s="1022" t="str">
        <f>Calculations!B186&amp;" of 11 symptoms "</f>
        <v xml:space="preserve">0 of 11 symptoms </v>
      </c>
      <c r="J58" s="1023"/>
      <c r="K58" s="266"/>
      <c r="L58" s="991" t="s">
        <v>378</v>
      </c>
      <c r="M58" s="992"/>
      <c r="N58" s="985">
        <f>Calculations!D116*10</f>
        <v>0</v>
      </c>
      <c r="O58" s="986"/>
      <c r="P58" s="576"/>
      <c r="Q58" s="578"/>
    </row>
    <row r="59" spans="2:17" ht="13.5" customHeight="1" thickBot="1" x14ac:dyDescent="0.2">
      <c r="B59" s="879" t="s">
        <v>365</v>
      </c>
      <c r="C59" s="880"/>
      <c r="D59" s="880"/>
      <c r="E59" s="880"/>
      <c r="F59" s="880"/>
      <c r="G59" s="880"/>
      <c r="H59" s="259">
        <f>Calculations!D325</f>
        <v>0</v>
      </c>
      <c r="I59" s="829">
        <f>Calculations!D365</f>
        <v>0</v>
      </c>
      <c r="J59" s="830"/>
      <c r="K59" s="266"/>
      <c r="L59" s="990" t="s">
        <v>379</v>
      </c>
      <c r="M59" s="874"/>
      <c r="N59" s="872">
        <f>Calculations!D120*10</f>
        <v>0</v>
      </c>
      <c r="O59" s="872"/>
      <c r="P59" s="579"/>
      <c r="Q59" s="580"/>
    </row>
    <row r="60" spans="2:17" ht="13.5" customHeight="1" thickBot="1" x14ac:dyDescent="0.2">
      <c r="B60" s="843" t="s">
        <v>51</v>
      </c>
      <c r="C60" s="840"/>
      <c r="D60" s="840"/>
      <c r="E60" s="840"/>
      <c r="F60" s="840"/>
      <c r="G60" s="840"/>
      <c r="H60" s="260">
        <f>Calculations!D326</f>
        <v>0</v>
      </c>
      <c r="I60" s="763">
        <f>Calculations!D366</f>
        <v>0</v>
      </c>
      <c r="J60" s="764"/>
      <c r="K60" s="266"/>
      <c r="L60" s="266"/>
      <c r="M60" s="266"/>
      <c r="N60" s="266"/>
      <c r="O60" s="266"/>
      <c r="P60" s="266"/>
      <c r="Q60" s="266"/>
    </row>
    <row r="61" spans="2:17" ht="15.75" customHeight="1" x14ac:dyDescent="0.15">
      <c r="B61" s="843" t="s">
        <v>366</v>
      </c>
      <c r="C61" s="840"/>
      <c r="D61" s="840"/>
      <c r="E61" s="840"/>
      <c r="F61" s="840"/>
      <c r="G61" s="840"/>
      <c r="H61" s="260">
        <f>Calculations!D327</f>
        <v>0</v>
      </c>
      <c r="I61" s="763">
        <f>Calculations!D367</f>
        <v>0</v>
      </c>
      <c r="J61" s="764"/>
      <c r="K61" s="266"/>
      <c r="L61" s="190" t="s">
        <v>388</v>
      </c>
      <c r="M61" s="191"/>
      <c r="N61" s="191"/>
      <c r="O61" s="191"/>
      <c r="P61" s="191"/>
      <c r="Q61" s="192"/>
    </row>
    <row r="62" spans="2:17" ht="13.5" customHeight="1" x14ac:dyDescent="0.15">
      <c r="B62" s="839" t="s">
        <v>52</v>
      </c>
      <c r="C62" s="840"/>
      <c r="D62" s="840"/>
      <c r="E62" s="840"/>
      <c r="F62" s="840"/>
      <c r="G62" s="840"/>
      <c r="H62" s="260">
        <f>Calculations!D328</f>
        <v>0</v>
      </c>
      <c r="I62" s="763">
        <f>Calculations!D368</f>
        <v>0</v>
      </c>
      <c r="J62" s="764"/>
      <c r="K62" s="272"/>
      <c r="L62" s="993" t="s">
        <v>742</v>
      </c>
      <c r="M62" s="994"/>
      <c r="N62" s="994"/>
      <c r="O62" s="994"/>
      <c r="P62" s="994"/>
      <c r="Q62" s="995"/>
    </row>
    <row r="63" spans="2:17" ht="13.5" customHeight="1" x14ac:dyDescent="0.15">
      <c r="B63" s="839" t="s">
        <v>379</v>
      </c>
      <c r="C63" s="1015"/>
      <c r="D63" s="1015"/>
      <c r="E63" s="840"/>
      <c r="F63" s="840"/>
      <c r="G63" s="840"/>
      <c r="H63" s="260">
        <f>Calculations!D329</f>
        <v>0</v>
      </c>
      <c r="I63" s="763">
        <f>Calculations!D369</f>
        <v>0</v>
      </c>
      <c r="J63" s="764"/>
      <c r="K63" s="273"/>
      <c r="L63" s="888" t="str">
        <f>IF(ISBLANK(Questions!C9), "None provided",Questions!C9)</f>
        <v>None provided</v>
      </c>
      <c r="M63" s="889"/>
      <c r="N63" s="889"/>
      <c r="O63" s="889"/>
      <c r="P63" s="889"/>
      <c r="Q63" s="890"/>
    </row>
    <row r="64" spans="2:17" ht="13.5" customHeight="1" x14ac:dyDescent="0.15">
      <c r="B64" s="875" t="s">
        <v>708</v>
      </c>
      <c r="C64" s="876"/>
      <c r="D64" s="876"/>
      <c r="E64" s="840"/>
      <c r="F64" s="840"/>
      <c r="G64" s="840"/>
      <c r="H64" s="260">
        <f>Calculations!D330</f>
        <v>0</v>
      </c>
      <c r="I64" s="763">
        <f>Calculations!D370</f>
        <v>0</v>
      </c>
      <c r="J64" s="764"/>
      <c r="K64" s="273"/>
      <c r="L64" s="891"/>
      <c r="M64" s="892"/>
      <c r="N64" s="892"/>
      <c r="O64" s="892"/>
      <c r="P64" s="892"/>
      <c r="Q64" s="893"/>
    </row>
    <row r="65" spans="1:18" ht="13.5" customHeight="1" x14ac:dyDescent="0.15">
      <c r="B65" s="875" t="s">
        <v>709</v>
      </c>
      <c r="C65" s="876"/>
      <c r="D65" s="876"/>
      <c r="E65" s="840"/>
      <c r="F65" s="840"/>
      <c r="G65" s="840"/>
      <c r="H65" s="260">
        <f>Calculations!D331</f>
        <v>0</v>
      </c>
      <c r="I65" s="763">
        <f>Calculations!D371</f>
        <v>0</v>
      </c>
      <c r="J65" s="764"/>
      <c r="K65" s="273"/>
      <c r="L65" s="891"/>
      <c r="M65" s="892"/>
      <c r="N65" s="892"/>
      <c r="O65" s="892"/>
      <c r="P65" s="892"/>
      <c r="Q65" s="893"/>
    </row>
    <row r="66" spans="1:18" ht="13.5" customHeight="1" x14ac:dyDescent="0.15">
      <c r="B66" s="875" t="s">
        <v>710</v>
      </c>
      <c r="C66" s="876"/>
      <c r="D66" s="876"/>
      <c r="E66" s="840"/>
      <c r="F66" s="840"/>
      <c r="G66" s="840"/>
      <c r="H66" s="260">
        <f>Calculations!D332</f>
        <v>0</v>
      </c>
      <c r="I66" s="763">
        <f>Calculations!D372</f>
        <v>0</v>
      </c>
      <c r="J66" s="764"/>
      <c r="K66" s="272"/>
      <c r="L66" s="894"/>
      <c r="M66" s="895"/>
      <c r="N66" s="895"/>
      <c r="O66" s="895"/>
      <c r="P66" s="895"/>
      <c r="Q66" s="896"/>
    </row>
    <row r="67" spans="1:18" ht="13.5" customHeight="1" x14ac:dyDescent="0.15">
      <c r="B67" s="1026" t="s">
        <v>425</v>
      </c>
      <c r="C67" s="992"/>
      <c r="D67" s="992"/>
      <c r="E67" s="992"/>
      <c r="F67" s="992"/>
      <c r="G67" s="992"/>
      <c r="H67" s="263">
        <f>Calculations!D333</f>
        <v>0</v>
      </c>
      <c r="I67" s="833">
        <f>Calculations!D373</f>
        <v>0</v>
      </c>
      <c r="J67" s="834"/>
      <c r="K67" s="273"/>
      <c r="L67" s="1018" t="s">
        <v>743</v>
      </c>
      <c r="M67" s="1019"/>
      <c r="N67" s="1019"/>
      <c r="O67" s="1019"/>
      <c r="P67" s="393"/>
      <c r="Q67" s="394"/>
    </row>
    <row r="68" spans="1:18" ht="13.5" customHeight="1" x14ac:dyDescent="0.15">
      <c r="B68" s="841" t="s">
        <v>367</v>
      </c>
      <c r="C68" s="842"/>
      <c r="D68" s="842"/>
      <c r="E68" s="842"/>
      <c r="F68" s="842"/>
      <c r="G68" s="842"/>
      <c r="H68" s="397">
        <f>Calculations!D334</f>
        <v>0</v>
      </c>
      <c r="I68" s="1024">
        <f>Calculations!D374</f>
        <v>0</v>
      </c>
      <c r="J68" s="1025"/>
      <c r="K68" s="273"/>
      <c r="L68" s="888" t="str">
        <f>IF(ISBLANK(Questions!C10), "None provided",Questions!C10)</f>
        <v>None provided</v>
      </c>
      <c r="M68" s="889"/>
      <c r="N68" s="889"/>
      <c r="O68" s="889"/>
      <c r="P68" s="889"/>
      <c r="Q68" s="890"/>
    </row>
    <row r="69" spans="1:18" ht="13.5" customHeight="1" x14ac:dyDescent="0.15">
      <c r="B69" s="1005" t="s">
        <v>368</v>
      </c>
      <c r="C69" s="1006"/>
      <c r="D69" s="1006"/>
      <c r="E69" s="1006"/>
      <c r="F69" s="1006"/>
      <c r="G69" s="1006"/>
      <c r="H69" s="261">
        <f>Calculations!D335</f>
        <v>0</v>
      </c>
      <c r="I69" s="831">
        <f>Calculations!D375</f>
        <v>0</v>
      </c>
      <c r="J69" s="832"/>
      <c r="K69" s="273"/>
      <c r="L69" s="891"/>
      <c r="M69" s="892"/>
      <c r="N69" s="892"/>
      <c r="O69" s="892"/>
      <c r="P69" s="892"/>
      <c r="Q69" s="893"/>
    </row>
    <row r="70" spans="1:18" ht="15.75" customHeight="1" x14ac:dyDescent="0.15">
      <c r="B70" s="1029" t="s">
        <v>779</v>
      </c>
      <c r="C70" s="1030"/>
      <c r="D70" s="1030"/>
      <c r="E70" s="1030"/>
      <c r="F70" s="1030"/>
      <c r="G70" s="1030"/>
      <c r="H70" s="1030"/>
      <c r="I70" s="1016" t="str">
        <f>Calculations!B215&amp;" of 6 symptoms "</f>
        <v xml:space="preserve">0 of 6 symptoms </v>
      </c>
      <c r="J70" s="1017"/>
      <c r="K70" s="273"/>
      <c r="L70" s="891"/>
      <c r="M70" s="892"/>
      <c r="N70" s="892"/>
      <c r="O70" s="892"/>
      <c r="P70" s="892"/>
      <c r="Q70" s="893"/>
    </row>
    <row r="71" spans="1:18" ht="13.5" customHeight="1" x14ac:dyDescent="0.15">
      <c r="B71" s="879" t="s">
        <v>369</v>
      </c>
      <c r="C71" s="880"/>
      <c r="D71" s="880"/>
      <c r="E71" s="880"/>
      <c r="F71" s="880"/>
      <c r="G71" s="880"/>
      <c r="H71" s="259">
        <f>Calculations!D338</f>
        <v>0</v>
      </c>
      <c r="I71" s="829">
        <f>Calculations!D378</f>
        <v>0</v>
      </c>
      <c r="J71" s="830"/>
      <c r="K71" s="273"/>
      <c r="L71" s="891"/>
      <c r="M71" s="892"/>
      <c r="N71" s="892"/>
      <c r="O71" s="892"/>
      <c r="P71" s="892"/>
      <c r="Q71" s="893"/>
    </row>
    <row r="72" spans="1:18" ht="13.5" customHeight="1" x14ac:dyDescent="0.15">
      <c r="B72" s="843" t="s">
        <v>370</v>
      </c>
      <c r="C72" s="840"/>
      <c r="D72" s="840"/>
      <c r="E72" s="840"/>
      <c r="F72" s="840"/>
      <c r="G72" s="840"/>
      <c r="H72" s="260">
        <f>Calculations!D339</f>
        <v>0</v>
      </c>
      <c r="I72" s="763">
        <f>Calculations!D379</f>
        <v>0</v>
      </c>
      <c r="J72" s="764"/>
      <c r="K72" s="273"/>
      <c r="L72" s="891"/>
      <c r="M72" s="892"/>
      <c r="N72" s="892"/>
      <c r="O72" s="892"/>
      <c r="P72" s="892"/>
      <c r="Q72" s="893"/>
    </row>
    <row r="73" spans="1:18" ht="13.5" customHeight="1" x14ac:dyDescent="0.15">
      <c r="B73" s="843" t="s">
        <v>371</v>
      </c>
      <c r="C73" s="840"/>
      <c r="D73" s="840"/>
      <c r="E73" s="840"/>
      <c r="F73" s="840"/>
      <c r="G73" s="840"/>
      <c r="H73" s="260">
        <f>Calculations!D340</f>
        <v>0</v>
      </c>
      <c r="I73" s="763">
        <f>Calculations!D380</f>
        <v>0</v>
      </c>
      <c r="J73" s="764"/>
      <c r="K73" s="274"/>
      <c r="L73" s="891"/>
      <c r="M73" s="892"/>
      <c r="N73" s="892"/>
      <c r="O73" s="892"/>
      <c r="P73" s="892"/>
      <c r="Q73" s="893"/>
    </row>
    <row r="74" spans="1:18" ht="13.5" customHeight="1" x14ac:dyDescent="0.15">
      <c r="B74" s="984" t="s">
        <v>372</v>
      </c>
      <c r="C74" s="1015"/>
      <c r="D74" s="1015"/>
      <c r="E74" s="1015"/>
      <c r="F74" s="1015"/>
      <c r="G74" s="1015"/>
      <c r="H74" s="260">
        <f>Calculations!D341</f>
        <v>0</v>
      </c>
      <c r="I74" s="763">
        <f>Calculations!D381</f>
        <v>0</v>
      </c>
      <c r="J74" s="764"/>
      <c r="K74" s="272"/>
      <c r="L74" s="891"/>
      <c r="M74" s="892"/>
      <c r="N74" s="892"/>
      <c r="O74" s="892"/>
      <c r="P74" s="892"/>
      <c r="Q74" s="893"/>
    </row>
    <row r="75" spans="1:18" ht="13.5" customHeight="1" x14ac:dyDescent="0.15">
      <c r="B75" s="984" t="s">
        <v>373</v>
      </c>
      <c r="C75" s="840"/>
      <c r="D75" s="840"/>
      <c r="E75" s="840"/>
      <c r="F75" s="840"/>
      <c r="G75" s="840"/>
      <c r="H75" s="260">
        <f>Calculations!D342</f>
        <v>0</v>
      </c>
      <c r="I75" s="763">
        <f>Calculations!D382</f>
        <v>0</v>
      </c>
      <c r="J75" s="764"/>
      <c r="K75" s="273"/>
      <c r="L75" s="891"/>
      <c r="M75" s="892"/>
      <c r="N75" s="892"/>
      <c r="O75" s="892"/>
      <c r="P75" s="892"/>
      <c r="Q75" s="893"/>
    </row>
    <row r="76" spans="1:18" ht="13.5" customHeight="1" thickBot="1" x14ac:dyDescent="0.2">
      <c r="B76" s="881" t="s">
        <v>374</v>
      </c>
      <c r="C76" s="874"/>
      <c r="D76" s="874"/>
      <c r="E76" s="874"/>
      <c r="F76" s="874"/>
      <c r="G76" s="874"/>
      <c r="H76" s="262">
        <f>Calculations!D343</f>
        <v>0</v>
      </c>
      <c r="I76" s="877">
        <f>Calculations!D383</f>
        <v>0</v>
      </c>
      <c r="J76" s="878"/>
      <c r="K76" s="273"/>
      <c r="L76" s="987"/>
      <c r="M76" s="988"/>
      <c r="N76" s="988"/>
      <c r="O76" s="988"/>
      <c r="P76" s="988"/>
      <c r="Q76" s="989"/>
    </row>
    <row r="77" spans="1:18" ht="1" customHeight="1" x14ac:dyDescent="0.15">
      <c r="B77" s="46"/>
      <c r="C77" s="46"/>
      <c r="D77" s="46"/>
      <c r="E77" s="46"/>
      <c r="F77" s="46"/>
      <c r="G77" s="46"/>
      <c r="H77" s="46"/>
      <c r="I77" s="46"/>
      <c r="J77" s="46"/>
      <c r="K77" s="46"/>
      <c r="L77" s="46"/>
      <c r="M77" s="46"/>
      <c r="N77" s="46"/>
      <c r="O77" s="46"/>
      <c r="P77" s="46"/>
      <c r="Q77" s="46"/>
    </row>
    <row r="78" spans="1:18" ht="18" customHeight="1" x14ac:dyDescent="0.2">
      <c r="A78" s="743" t="s">
        <v>125</v>
      </c>
      <c r="B78" s="743"/>
      <c r="C78" s="743"/>
      <c r="D78" s="743"/>
      <c r="E78" s="743"/>
      <c r="F78" s="743"/>
      <c r="G78" s="743"/>
      <c r="H78" s="743"/>
      <c r="I78" s="743"/>
      <c r="J78" s="743"/>
      <c r="K78" s="743"/>
      <c r="L78" s="743"/>
      <c r="M78" s="743"/>
      <c r="N78" s="743"/>
      <c r="O78" s="743"/>
      <c r="P78" s="743"/>
      <c r="Q78" s="743"/>
      <c r="R78" s="743"/>
    </row>
    <row r="79" spans="1:18" x14ac:dyDescent="0.15">
      <c r="A79" s="744" t="s">
        <v>844</v>
      </c>
      <c r="B79" s="744"/>
      <c r="C79" s="744"/>
      <c r="D79" s="744"/>
      <c r="E79" s="744"/>
      <c r="F79" s="744"/>
      <c r="G79" s="744"/>
      <c r="H79" s="744"/>
      <c r="I79" s="744"/>
      <c r="J79" s="744"/>
      <c r="K79" s="744"/>
      <c r="L79" s="744"/>
      <c r="M79" s="744"/>
      <c r="N79" s="744"/>
      <c r="O79" s="744"/>
      <c r="P79" s="744"/>
      <c r="Q79" s="744"/>
      <c r="R79" s="744"/>
    </row>
    <row r="80" spans="1:18" x14ac:dyDescent="0.15">
      <c r="B80" s="188"/>
      <c r="C80" s="189"/>
      <c r="D80" s="189"/>
      <c r="E80" s="43"/>
      <c r="F80" s="43"/>
      <c r="G80" s="43"/>
      <c r="H80" s="43"/>
      <c r="I80" s="43"/>
      <c r="J80" s="43"/>
      <c r="K80" s="43"/>
      <c r="L80" s="43"/>
      <c r="M80" s="43"/>
      <c r="N80" s="43"/>
      <c r="O80" s="43"/>
      <c r="P80" s="43"/>
      <c r="Q80" s="43"/>
    </row>
    <row r="81" spans="2:17" ht="13" customHeight="1" thickBot="1" x14ac:dyDescent="0.2">
      <c r="B81" s="96"/>
      <c r="C81" s="96"/>
      <c r="D81" s="96"/>
      <c r="E81" s="89"/>
      <c r="F81" s="89"/>
      <c r="G81" s="89"/>
      <c r="H81" s="89"/>
      <c r="I81" s="89"/>
      <c r="J81" s="89"/>
      <c r="K81" s="89"/>
      <c r="L81" s="89"/>
      <c r="M81" s="89"/>
      <c r="N81" s="89"/>
      <c r="O81" s="89"/>
      <c r="P81" s="89"/>
      <c r="Q81" s="89"/>
    </row>
    <row r="82" spans="2:17" s="181" customFormat="1" ht="16" customHeight="1" thickBot="1" x14ac:dyDescent="0.2">
      <c r="B82" s="726" t="s">
        <v>721</v>
      </c>
      <c r="C82" s="727"/>
      <c r="D82" s="727"/>
      <c r="E82" s="727"/>
      <c r="F82" s="727"/>
      <c r="G82" s="727"/>
      <c r="H82" s="727"/>
      <c r="I82" s="727"/>
      <c r="J82" s="727"/>
      <c r="K82" s="727"/>
      <c r="L82" s="727"/>
      <c r="M82" s="727"/>
      <c r="N82" s="727"/>
      <c r="O82" s="727"/>
      <c r="P82" s="727"/>
      <c r="Q82" s="728"/>
    </row>
    <row r="83" spans="2:17" s="101" customFormat="1" ht="13.5" customHeight="1" x14ac:dyDescent="0.15">
      <c r="B83" s="246" t="s">
        <v>773</v>
      </c>
      <c r="C83" s="247"/>
      <c r="D83" s="247"/>
      <c r="E83" s="248"/>
      <c r="F83" s="248"/>
      <c r="G83" s="248"/>
      <c r="H83" s="248"/>
      <c r="I83" s="248"/>
      <c r="J83" s="248"/>
      <c r="K83" s="495"/>
      <c r="L83" s="493" t="s">
        <v>719</v>
      </c>
      <c r="M83" s="494">
        <f>Calculations!D11</f>
        <v>10</v>
      </c>
      <c r="N83" s="870" t="s">
        <v>716</v>
      </c>
      <c r="O83" s="871"/>
      <c r="P83" s="864" t="str">
        <f>Calculations!D12&amp;" of 12"</f>
        <v>12 of 12</v>
      </c>
      <c r="Q83" s="865"/>
    </row>
    <row r="84" spans="2:17" s="101" customFormat="1" ht="13.5" customHeight="1" x14ac:dyDescent="0.15">
      <c r="B84" s="304">
        <f>_Q1</f>
        <v>0</v>
      </c>
      <c r="C84" s="387" t="s">
        <v>428</v>
      </c>
      <c r="D84" s="310" t="s">
        <v>440</v>
      </c>
      <c r="E84" s="100"/>
      <c r="F84" s="869" t="str">
        <f>_T1</f>
        <v>While watching TV, you find that you are thinking about something else.</v>
      </c>
      <c r="G84" s="869"/>
      <c r="H84" s="869"/>
      <c r="I84" s="869"/>
      <c r="J84" s="869"/>
      <c r="K84" s="869"/>
      <c r="L84" s="869"/>
      <c r="M84" s="869"/>
      <c r="N84" s="869"/>
      <c r="O84" s="869"/>
      <c r="P84" s="121"/>
      <c r="Q84" s="102"/>
    </row>
    <row r="85" spans="2:17" s="101" customFormat="1" ht="13.5" customHeight="1" x14ac:dyDescent="0.15">
      <c r="B85" s="286">
        <f>_Q10</f>
        <v>0</v>
      </c>
      <c r="C85" s="385" t="s">
        <v>429</v>
      </c>
      <c r="D85" s="311" t="s">
        <v>440</v>
      </c>
      <c r="E85" s="125"/>
      <c r="F85" s="101" t="str">
        <f>_T10</f>
        <v>Forgetting errands that you had planned to do.</v>
      </c>
      <c r="Q85" s="102"/>
    </row>
    <row r="86" spans="2:17" s="101" customFormat="1" ht="13.5" customHeight="1" x14ac:dyDescent="0.15">
      <c r="B86" s="286">
        <f>_Q33</f>
        <v>0</v>
      </c>
      <c r="C86" s="385" t="s">
        <v>430</v>
      </c>
      <c r="D86" s="311" t="s">
        <v>440</v>
      </c>
      <c r="E86" s="100"/>
      <c r="F86" s="101" t="str">
        <f>_T33</f>
        <v>While reading, you find that you are thinking about something else.</v>
      </c>
      <c r="Q86" s="102"/>
    </row>
    <row r="87" spans="2:17" s="101" customFormat="1" ht="13.5" customHeight="1" x14ac:dyDescent="0.15">
      <c r="B87" s="286">
        <f>_Q65</f>
        <v>0</v>
      </c>
      <c r="C87" s="385" t="s">
        <v>431</v>
      </c>
      <c r="D87" s="311" t="s">
        <v>440</v>
      </c>
      <c r="E87" s="100"/>
      <c r="F87" s="101" t="str">
        <f>_T65</f>
        <v>Being impulsive.</v>
      </c>
      <c r="Q87" s="102"/>
    </row>
    <row r="88" spans="2:17" s="101" customFormat="1" ht="13.5" customHeight="1" x14ac:dyDescent="0.15">
      <c r="B88" s="286">
        <f>_Q87</f>
        <v>0</v>
      </c>
      <c r="C88" s="385" t="s">
        <v>432</v>
      </c>
      <c r="D88" s="311" t="s">
        <v>440</v>
      </c>
      <c r="E88" s="100"/>
      <c r="F88" s="101" t="str">
        <f>_T87</f>
        <v>Not being able to remember something, but feeling that it is “right on the tip of your tongue.”</v>
      </c>
      <c r="Q88" s="102"/>
    </row>
    <row r="89" spans="2:17" s="101" customFormat="1" ht="13.5" customHeight="1" x14ac:dyDescent="0.15">
      <c r="B89" s="286">
        <f>_Q88</f>
        <v>0</v>
      </c>
      <c r="C89" s="385" t="s">
        <v>433</v>
      </c>
      <c r="D89" s="311" t="s">
        <v>440</v>
      </c>
      <c r="E89" s="100"/>
      <c r="F89" s="101" t="str">
        <f>_T88</f>
        <v>Making decisions too quickly.</v>
      </c>
      <c r="Q89" s="102"/>
    </row>
    <row r="90" spans="2:17" s="101" customFormat="1" ht="13.5" customHeight="1" x14ac:dyDescent="0.15">
      <c r="B90" s="286">
        <f>_Q100</f>
        <v>0</v>
      </c>
      <c r="C90" s="385" t="s">
        <v>434</v>
      </c>
      <c r="D90" s="311" t="s">
        <v>440</v>
      </c>
      <c r="E90" s="100"/>
      <c r="F90" s="101" t="str">
        <f>_T100</f>
        <v xml:space="preserve">Listening to someone and realizing that you did not hear part of what he/she said.  </v>
      </c>
      <c r="Q90" s="102"/>
    </row>
    <row r="91" spans="2:17" s="101" customFormat="1" ht="13.5" customHeight="1" x14ac:dyDescent="0.15">
      <c r="B91" s="286">
        <f>_Q109</f>
        <v>0</v>
      </c>
      <c r="C91" s="385" t="s">
        <v>435</v>
      </c>
      <c r="D91" s="311" t="s">
        <v>440</v>
      </c>
      <c r="E91" s="100"/>
      <c r="F91" s="101" t="str">
        <f>_T109</f>
        <v>Forgetting where you put something.</v>
      </c>
      <c r="Q91" s="102"/>
    </row>
    <row r="92" spans="2:17" s="101" customFormat="1" ht="13.5" customHeight="1" x14ac:dyDescent="0.15">
      <c r="B92" s="286">
        <f>_Q110</f>
        <v>0</v>
      </c>
      <c r="C92" s="385" t="s">
        <v>436</v>
      </c>
      <c r="D92" s="311" t="s">
        <v>440</v>
      </c>
      <c r="E92" s="100"/>
      <c r="F92" s="101" t="str">
        <f>_T110</f>
        <v>Having dreams that you don’t remember the next day.</v>
      </c>
      <c r="Q92" s="102"/>
    </row>
    <row r="93" spans="2:17" s="101" customFormat="1" ht="13.5" customHeight="1" x14ac:dyDescent="0.15">
      <c r="B93" s="286">
        <f>_Q121</f>
        <v>0</v>
      </c>
      <c r="C93" s="385" t="s">
        <v>437</v>
      </c>
      <c r="D93" s="311" t="s">
        <v>440</v>
      </c>
      <c r="E93" s="100"/>
      <c r="F93" s="101" t="str">
        <f>_T121</f>
        <v>Daydreaming.</v>
      </c>
      <c r="Q93" s="102"/>
    </row>
    <row r="94" spans="2:17" s="101" customFormat="1" ht="13.5" customHeight="1" x14ac:dyDescent="0.15">
      <c r="B94" s="286">
        <f>_Q132</f>
        <v>0</v>
      </c>
      <c r="C94" s="385" t="s">
        <v>438</v>
      </c>
      <c r="D94" s="311" t="s">
        <v>440</v>
      </c>
      <c r="E94" s="100"/>
      <c r="F94" s="101" t="str">
        <f>_T132</f>
        <v xml:space="preserve">Being unable to recall something---then, something “jogs” your memory and you remember it. </v>
      </c>
      <c r="Q94" s="102"/>
    </row>
    <row r="95" spans="2:17" s="101" customFormat="1" ht="13.5" customHeight="1" x14ac:dyDescent="0.15">
      <c r="B95" s="316">
        <f>_Q142</f>
        <v>0</v>
      </c>
      <c r="C95" s="389" t="s">
        <v>439</v>
      </c>
      <c r="D95" s="312" t="s">
        <v>440</v>
      </c>
      <c r="E95" s="100"/>
      <c r="F95" s="101" t="str">
        <f>_t142</f>
        <v xml:space="preserve">Having to go back and correct mistakes that you made. </v>
      </c>
      <c r="Q95" s="102"/>
    </row>
    <row r="96" spans="2:17" s="101" customFormat="1" x14ac:dyDescent="0.15">
      <c r="B96" s="456" t="s">
        <v>15</v>
      </c>
      <c r="C96" s="457"/>
      <c r="D96" s="457"/>
      <c r="E96" s="242"/>
      <c r="F96" s="242"/>
      <c r="G96" s="242"/>
      <c r="H96" s="242"/>
      <c r="I96" s="242"/>
      <c r="J96" s="242"/>
      <c r="K96" s="245"/>
      <c r="L96" s="539" t="s">
        <v>717</v>
      </c>
      <c r="M96" s="540">
        <f>Calculations!D23</f>
        <v>0</v>
      </c>
      <c r="N96" s="797" t="s">
        <v>716</v>
      </c>
      <c r="O96" s="773"/>
      <c r="P96" s="733" t="str">
        <f>Calculations!D24&amp;" of 12"</f>
        <v>0 of 12</v>
      </c>
      <c r="Q96" s="734"/>
    </row>
    <row r="97" spans="2:17" s="46" customFormat="1" ht="27" customHeight="1" x14ac:dyDescent="0.15">
      <c r="B97" s="279">
        <f>_Q11</f>
        <v>0</v>
      </c>
      <c r="C97" s="383" t="s">
        <v>472</v>
      </c>
      <c r="D97" s="338" t="s">
        <v>462</v>
      </c>
      <c r="E97" s="45"/>
      <c r="F97" s="787" t="str">
        <f>_T11</f>
        <v>Feeling that your mind or body has been taken over by a famous person (for example, Elvis Presley, Jesus Christ, Madonna, President Kennedy, etc.).</v>
      </c>
      <c r="G97" s="787"/>
      <c r="H97" s="787"/>
      <c r="I97" s="787"/>
      <c r="J97" s="787"/>
      <c r="K97" s="787"/>
      <c r="L97" s="787"/>
      <c r="M97" s="787"/>
      <c r="N97" s="787"/>
      <c r="O97" s="787"/>
      <c r="P97" s="787"/>
      <c r="Q97" s="104"/>
    </row>
    <row r="98" spans="2:17" s="46" customFormat="1" ht="13.5" customHeight="1" x14ac:dyDescent="0.15">
      <c r="B98" s="280">
        <f>_Q26</f>
        <v>0</v>
      </c>
      <c r="C98" s="384" t="s">
        <v>473</v>
      </c>
      <c r="D98" s="339" t="s">
        <v>462</v>
      </c>
      <c r="E98" s="45"/>
      <c r="F98" s="739" t="str">
        <f>_T26</f>
        <v>Your mind being controlled by an external force (for example, microwaves, the CIA, radiation from outer space, etc.).</v>
      </c>
      <c r="G98" s="739"/>
      <c r="H98" s="739"/>
      <c r="I98" s="739"/>
      <c r="J98" s="739"/>
      <c r="K98" s="739"/>
      <c r="L98" s="739"/>
      <c r="M98" s="739"/>
      <c r="N98" s="739"/>
      <c r="O98" s="739"/>
      <c r="P98" s="739"/>
      <c r="Q98" s="104"/>
    </row>
    <row r="99" spans="2:17" s="101" customFormat="1" ht="13.5" customHeight="1" x14ac:dyDescent="0.15">
      <c r="B99" s="286">
        <f>_Q40</f>
        <v>0</v>
      </c>
      <c r="C99" s="385" t="s">
        <v>474</v>
      </c>
      <c r="D99" s="311" t="s">
        <v>462</v>
      </c>
      <c r="E99" s="100"/>
      <c r="F99" s="101" t="str">
        <f>_T40</f>
        <v>Feeling that the color of your body is changing.</v>
      </c>
      <c r="Q99" s="102"/>
    </row>
    <row r="100" spans="2:17" s="101" customFormat="1" ht="13.5" customHeight="1" x14ac:dyDescent="0.15">
      <c r="B100" s="286">
        <f>_Q52</f>
        <v>0</v>
      </c>
      <c r="C100" s="385" t="s">
        <v>475</v>
      </c>
      <c r="D100" s="311" t="s">
        <v>462</v>
      </c>
      <c r="E100" s="100"/>
      <c r="F100" s="101" t="str">
        <f>_T52</f>
        <v>Your thoughts being broadcast so that other people can actually hear them.</v>
      </c>
      <c r="Q100" s="102"/>
    </row>
    <row r="101" spans="2:17" s="103" customFormat="1" ht="14" customHeight="1" x14ac:dyDescent="0.15">
      <c r="B101" s="286">
        <f>_Q55</f>
        <v>0</v>
      </c>
      <c r="C101" s="385" t="s">
        <v>476</v>
      </c>
      <c r="D101" s="311" t="s">
        <v>462</v>
      </c>
      <c r="E101" s="115"/>
      <c r="F101" s="121" t="str">
        <f>_T55</f>
        <v>Feeling the presence of an old man inside you who wants to read his newspaper or go to the bathroom.</v>
      </c>
      <c r="G101" s="121"/>
      <c r="H101" s="121"/>
      <c r="I101" s="121"/>
      <c r="J101" s="121"/>
      <c r="K101" s="121"/>
      <c r="L101" s="121"/>
      <c r="M101" s="121"/>
      <c r="N101" s="121"/>
      <c r="Q101" s="104"/>
    </row>
    <row r="102" spans="2:17" s="103" customFormat="1" ht="27" customHeight="1" x14ac:dyDescent="0.15">
      <c r="B102" s="280">
        <f>_Q98</f>
        <v>0</v>
      </c>
      <c r="C102" s="384" t="s">
        <v>477</v>
      </c>
      <c r="D102" s="339" t="s">
        <v>462</v>
      </c>
      <c r="E102" s="115"/>
      <c r="F102" s="739" t="str">
        <f>_T98</f>
        <v>Hearing voices, which come from unusual places (for example, the air conditioner, the computer, the walls, etc.), that try to tell you what to do.</v>
      </c>
      <c r="G102" s="739"/>
      <c r="H102" s="739"/>
      <c r="I102" s="739"/>
      <c r="J102" s="739"/>
      <c r="K102" s="739"/>
      <c r="L102" s="739"/>
      <c r="M102" s="739"/>
      <c r="N102" s="739"/>
      <c r="O102" s="739"/>
      <c r="P102" s="739"/>
      <c r="Q102" s="104"/>
    </row>
    <row r="103" spans="2:17" s="103" customFormat="1" ht="13.5" customHeight="1" x14ac:dyDescent="0.15">
      <c r="B103" s="286">
        <f>_Q126</f>
        <v>0</v>
      </c>
      <c r="C103" s="385" t="s">
        <v>478</v>
      </c>
      <c r="D103" s="311" t="s">
        <v>462</v>
      </c>
      <c r="E103" s="115"/>
      <c r="F103" s="739" t="str">
        <f>_T126</f>
        <v xml:space="preserve">Part of your body (for example, arm, leg, head, etc.) seems to disappear and doesn’t re-appear for several days.     </v>
      </c>
      <c r="G103" s="739"/>
      <c r="H103" s="739"/>
      <c r="I103" s="739"/>
      <c r="J103" s="739"/>
      <c r="K103" s="739"/>
      <c r="L103" s="739"/>
      <c r="M103" s="739"/>
      <c r="N103" s="739"/>
      <c r="O103" s="739"/>
      <c r="P103" s="739"/>
      <c r="Q103" s="104"/>
    </row>
    <row r="104" spans="2:17" s="103" customFormat="1" ht="13.5" customHeight="1" x14ac:dyDescent="0.15">
      <c r="B104" s="280">
        <f>_Q153</f>
        <v>0</v>
      </c>
      <c r="C104" s="384" t="s">
        <v>479</v>
      </c>
      <c r="D104" s="339" t="s">
        <v>462</v>
      </c>
      <c r="E104" s="115"/>
      <c r="F104" s="739" t="str">
        <f>_T153</f>
        <v>Having trance-like episodes during which you see yourself being taken into a spaceship and experimented on by aliens.</v>
      </c>
      <c r="G104" s="739"/>
      <c r="H104" s="739"/>
      <c r="I104" s="739"/>
      <c r="J104" s="739"/>
      <c r="K104" s="739"/>
      <c r="L104" s="739"/>
      <c r="M104" s="739"/>
      <c r="N104" s="739"/>
      <c r="O104" s="739"/>
      <c r="P104" s="739"/>
      <c r="Q104" s="104"/>
    </row>
    <row r="105" spans="2:17" s="101" customFormat="1" ht="13.5" customHeight="1" x14ac:dyDescent="0.15">
      <c r="B105" s="286">
        <f>_Q163</f>
        <v>0</v>
      </c>
      <c r="C105" s="385" t="s">
        <v>480</v>
      </c>
      <c r="D105" s="311" t="s">
        <v>462</v>
      </c>
      <c r="E105" s="100"/>
      <c r="F105" s="101" t="str">
        <f>_T163</f>
        <v>Hearing a voice in your head that keeps talking about AIDS and homosexuals.</v>
      </c>
      <c r="Q105" s="102"/>
    </row>
    <row r="106" spans="2:17" s="101" customFormat="1" ht="13.5" customHeight="1" x14ac:dyDescent="0.15">
      <c r="B106" s="286">
        <f>_Q167</f>
        <v>0</v>
      </c>
      <c r="C106" s="385" t="s">
        <v>481</v>
      </c>
      <c r="D106" s="311" t="s">
        <v>462</v>
      </c>
      <c r="E106" s="100"/>
      <c r="F106" s="101" t="str">
        <f>_T167</f>
        <v>Going into trance and being possessed by a spirit or demon.</v>
      </c>
      <c r="Q106" s="102"/>
    </row>
    <row r="107" spans="2:17" s="46" customFormat="1" ht="27" customHeight="1" x14ac:dyDescent="0.15">
      <c r="B107" s="280">
        <f>_Q182</f>
        <v>0</v>
      </c>
      <c r="C107" s="384" t="s">
        <v>482</v>
      </c>
      <c r="D107" s="339" t="s">
        <v>462</v>
      </c>
      <c r="E107" s="45"/>
      <c r="F107" s="739" t="str">
        <f>_T182</f>
        <v>Switching back and forth between feeling like a human and feeling like a member of some other species (for example, a cat, a dog, a squirrel, etc.).</v>
      </c>
      <c r="G107" s="739"/>
      <c r="H107" s="739"/>
      <c r="I107" s="739"/>
      <c r="J107" s="739"/>
      <c r="K107" s="739"/>
      <c r="L107" s="739"/>
      <c r="M107" s="739"/>
      <c r="N107" s="739"/>
      <c r="O107" s="739"/>
      <c r="P107" s="739"/>
      <c r="Q107" s="104"/>
    </row>
    <row r="108" spans="2:17" s="101" customFormat="1" ht="13.5" customHeight="1" x14ac:dyDescent="0.15">
      <c r="B108" s="316">
        <f>_Q206</f>
        <v>0</v>
      </c>
      <c r="C108" s="389" t="s">
        <v>483</v>
      </c>
      <c r="D108" s="312" t="s">
        <v>462</v>
      </c>
      <c r="E108" s="100"/>
      <c r="F108" s="101" t="str">
        <f>_T206</f>
        <v>Having flashbacks of poor episodes of your favorite TV show.</v>
      </c>
      <c r="Q108" s="102"/>
    </row>
    <row r="109" spans="2:17" s="101" customFormat="1" ht="13.5" customHeight="1" x14ac:dyDescent="0.15">
      <c r="B109" s="249" t="s">
        <v>47</v>
      </c>
      <c r="C109" s="250"/>
      <c r="D109" s="250"/>
      <c r="E109" s="242"/>
      <c r="F109" s="242"/>
      <c r="G109" s="242"/>
      <c r="H109" s="242"/>
      <c r="I109" s="242"/>
      <c r="J109" s="242"/>
      <c r="K109" s="245"/>
      <c r="L109" s="539" t="s">
        <v>717</v>
      </c>
      <c r="M109" s="540">
        <f>Calculations!D15</f>
        <v>0</v>
      </c>
      <c r="N109" s="797" t="s">
        <v>716</v>
      </c>
      <c r="O109" s="773"/>
      <c r="P109" s="733" t="str">
        <f>Calculations!D16&amp;" of 12"</f>
        <v>0 of 12</v>
      </c>
      <c r="Q109" s="734"/>
    </row>
    <row r="110" spans="2:17" s="101" customFormat="1" ht="13.5" customHeight="1" x14ac:dyDescent="0.15">
      <c r="B110" s="304">
        <f>_Q29</f>
        <v>0</v>
      </c>
      <c r="C110" s="387" t="s">
        <v>441</v>
      </c>
      <c r="D110" s="310" t="s">
        <v>453</v>
      </c>
      <c r="E110" s="100"/>
      <c r="F110" s="101" t="str">
        <f>_T29</f>
        <v>Nobody cares about you.</v>
      </c>
      <c r="Q110" s="102"/>
    </row>
    <row r="111" spans="2:17" s="101" customFormat="1" ht="13.5" customHeight="1" x14ac:dyDescent="0.15">
      <c r="B111" s="286">
        <f>_Q35</f>
        <v>0</v>
      </c>
      <c r="C111" s="385" t="s">
        <v>442</v>
      </c>
      <c r="D111" s="311" t="s">
        <v>453</v>
      </c>
      <c r="E111" s="100"/>
      <c r="F111" s="101" t="str">
        <f>_T35</f>
        <v>Feeling empty and painfully alone.</v>
      </c>
      <c r="Q111" s="102"/>
    </row>
    <row r="112" spans="2:17" s="101" customFormat="1" ht="13.5" customHeight="1" x14ac:dyDescent="0.15">
      <c r="B112" s="286">
        <f>_Q45</f>
        <v>0</v>
      </c>
      <c r="C112" s="385" t="s">
        <v>443</v>
      </c>
      <c r="D112" s="311" t="s">
        <v>453</v>
      </c>
      <c r="E112" s="100"/>
      <c r="F112" s="101" t="str">
        <f>_T45</f>
        <v>Feeling mad.</v>
      </c>
      <c r="Q112" s="102"/>
    </row>
    <row r="113" spans="2:17" s="101" customFormat="1" ht="13.5" customHeight="1" x14ac:dyDescent="0.15">
      <c r="B113" s="286">
        <f>_Q54</f>
        <v>0</v>
      </c>
      <c r="C113" s="385" t="s">
        <v>444</v>
      </c>
      <c r="D113" s="311" t="s">
        <v>454</v>
      </c>
      <c r="E113" s="100"/>
      <c r="F113" s="101" t="str">
        <f>_T54</f>
        <v>Being rejected by others.</v>
      </c>
      <c r="Q113" s="102"/>
    </row>
    <row r="114" spans="2:17" s="101" customFormat="1" ht="13.5" customHeight="1" x14ac:dyDescent="0.15">
      <c r="B114" s="286">
        <f>_Q59</f>
        <v>0</v>
      </c>
      <c r="C114" s="385" t="s">
        <v>445</v>
      </c>
      <c r="D114" s="311" t="s">
        <v>455</v>
      </c>
      <c r="E114" s="100"/>
      <c r="F114" s="101" t="str">
        <f>_T59</f>
        <v>Being angry that your life is ruined.</v>
      </c>
      <c r="Q114" s="102"/>
    </row>
    <row r="115" spans="2:17" s="101" customFormat="1" ht="13.5" customHeight="1" x14ac:dyDescent="0.15">
      <c r="B115" s="286">
        <f>_Q62</f>
        <v>0</v>
      </c>
      <c r="C115" s="385" t="s">
        <v>446</v>
      </c>
      <c r="D115" s="311" t="s">
        <v>456</v>
      </c>
      <c r="E115" s="100"/>
      <c r="F115" s="101" t="str">
        <f>_T62</f>
        <v>Nobody understands how much you hurt.</v>
      </c>
      <c r="Q115" s="102"/>
    </row>
    <row r="116" spans="2:17" s="101" customFormat="1" ht="13.5" customHeight="1" x14ac:dyDescent="0.15">
      <c r="B116" s="286">
        <f>_Q68</f>
        <v>0</v>
      </c>
      <c r="C116" s="385" t="s">
        <v>447</v>
      </c>
      <c r="D116" s="311" t="s">
        <v>453</v>
      </c>
      <c r="E116" s="100"/>
      <c r="F116" s="101" t="str">
        <f>_T68</f>
        <v xml:space="preserve">Not being able to keep friends.  </v>
      </c>
      <c r="Q116" s="102"/>
    </row>
    <row r="117" spans="2:17" s="101" customFormat="1" ht="13.5" customHeight="1" x14ac:dyDescent="0.15">
      <c r="B117" s="286">
        <f>_Q73</f>
        <v>0</v>
      </c>
      <c r="C117" s="385" t="s">
        <v>448</v>
      </c>
      <c r="D117" s="311" t="s">
        <v>453</v>
      </c>
      <c r="E117" s="100"/>
      <c r="F117" s="101" t="str">
        <f>_T73</f>
        <v>Feeling the pain of never being really special to anyone.</v>
      </c>
      <c r="Q117" s="102"/>
    </row>
    <row r="118" spans="2:17" s="101" customFormat="1" ht="13.5" customHeight="1" x14ac:dyDescent="0.15">
      <c r="B118" s="286">
        <f>_Q96</f>
        <v>0</v>
      </c>
      <c r="C118" s="385" t="s">
        <v>449</v>
      </c>
      <c r="D118" s="311" t="s">
        <v>453</v>
      </c>
      <c r="E118" s="100"/>
      <c r="F118" s="101" t="str">
        <f>_T96</f>
        <v>Thinking about how little attention you received from your parents.</v>
      </c>
      <c r="Q118" s="102"/>
    </row>
    <row r="119" spans="2:17" s="101" customFormat="1" ht="13.5" customHeight="1" x14ac:dyDescent="0.15">
      <c r="B119" s="286">
        <f>_Q111</f>
        <v>0</v>
      </c>
      <c r="C119" s="385" t="s">
        <v>450</v>
      </c>
      <c r="D119" s="311" t="s">
        <v>454</v>
      </c>
      <c r="E119" s="100"/>
      <c r="F119" s="101" t="str">
        <f>_T111</f>
        <v xml:space="preserve">Desperately wanting to talk to someone about your pain or distress.  </v>
      </c>
      <c r="Q119" s="102"/>
    </row>
    <row r="120" spans="2:17" s="101" customFormat="1" ht="13.5" customHeight="1" x14ac:dyDescent="0.15">
      <c r="B120" s="286">
        <f>_Q124</f>
        <v>0</v>
      </c>
      <c r="C120" s="385" t="s">
        <v>451</v>
      </c>
      <c r="D120" s="311" t="s">
        <v>456</v>
      </c>
      <c r="E120" s="100"/>
      <c r="F120" s="101" t="str">
        <f>_T124</f>
        <v xml:space="preserve">Feeling hurt. </v>
      </c>
      <c r="Q120" s="102"/>
    </row>
    <row r="121" spans="2:17" s="101" customFormat="1" ht="13.5" customHeight="1" x14ac:dyDescent="0.15">
      <c r="B121" s="316">
        <f>_Q213</f>
        <v>0</v>
      </c>
      <c r="C121" s="389" t="s">
        <v>452</v>
      </c>
      <c r="D121" s="312" t="s">
        <v>453</v>
      </c>
      <c r="E121" s="100"/>
      <c r="F121" s="101" t="str">
        <f>_T213</f>
        <v>Wishing that someone would finally realize how much you hurt.</v>
      </c>
      <c r="Q121" s="102"/>
    </row>
    <row r="122" spans="2:17" s="101" customFormat="1" ht="13.5" customHeight="1" x14ac:dyDescent="0.15">
      <c r="B122" s="249" t="s">
        <v>14</v>
      </c>
      <c r="C122" s="250"/>
      <c r="D122" s="250"/>
      <c r="E122" s="242"/>
      <c r="F122" s="242"/>
      <c r="G122" s="242"/>
      <c r="H122" s="242"/>
      <c r="I122" s="242"/>
      <c r="J122" s="242"/>
      <c r="K122" s="245"/>
      <c r="L122" s="486" t="s">
        <v>717</v>
      </c>
      <c r="M122" s="487">
        <f>Calculations!D19</f>
        <v>0</v>
      </c>
      <c r="N122" s="850" t="s">
        <v>716</v>
      </c>
      <c r="O122" s="808"/>
      <c r="P122" s="867" t="str">
        <f>Calculations!D20&amp;" of 7"</f>
        <v>0 of 7</v>
      </c>
      <c r="Q122" s="868"/>
    </row>
    <row r="123" spans="2:17" s="101" customFormat="1" ht="13.5" customHeight="1" x14ac:dyDescent="0.15">
      <c r="B123" s="304">
        <f>_Q12</f>
        <v>0</v>
      </c>
      <c r="C123" s="387" t="s">
        <v>464</v>
      </c>
      <c r="D123" s="310" t="s">
        <v>455</v>
      </c>
      <c r="E123" s="100"/>
      <c r="F123" s="101" t="str">
        <f>_T12</f>
        <v>Trying to make someone jealous.</v>
      </c>
      <c r="Q123" s="102"/>
    </row>
    <row r="124" spans="2:17" s="101" customFormat="1" ht="13.5" customHeight="1" x14ac:dyDescent="0.15">
      <c r="B124" s="286">
        <f>_Q47</f>
        <v>0</v>
      </c>
      <c r="C124" s="385" t="s">
        <v>465</v>
      </c>
      <c r="D124" s="311" t="s">
        <v>453</v>
      </c>
      <c r="E124" s="100"/>
      <c r="F124" s="101" t="str">
        <f>_T47</f>
        <v xml:space="preserve">Talking to others about how you have been hurt or mistreated.  </v>
      </c>
      <c r="Q124" s="102"/>
    </row>
    <row r="125" spans="2:17" s="101" customFormat="1" ht="13.5" customHeight="1" x14ac:dyDescent="0.15">
      <c r="B125" s="286">
        <f>_Q51</f>
        <v>0</v>
      </c>
      <c r="C125" s="385" t="s">
        <v>466</v>
      </c>
      <c r="D125" s="311" t="s">
        <v>453</v>
      </c>
      <c r="E125" s="100"/>
      <c r="F125" s="101" t="str">
        <f>_T51</f>
        <v>Talking to others about very serious traumas that you have experienced.</v>
      </c>
      <c r="Q125" s="102"/>
    </row>
    <row r="126" spans="2:17" s="101" customFormat="1" ht="13.5" customHeight="1" x14ac:dyDescent="0.15">
      <c r="B126" s="286">
        <f>_Q93</f>
        <v>0</v>
      </c>
      <c r="C126" s="385" t="s">
        <v>467</v>
      </c>
      <c r="D126" s="311" t="s">
        <v>456</v>
      </c>
      <c r="E126" s="100"/>
      <c r="F126" s="101" t="str">
        <f>_T93</f>
        <v>Seeing or talking with others who have the same disorder that you have.</v>
      </c>
      <c r="Q126" s="102"/>
    </row>
    <row r="127" spans="2:17" s="101" customFormat="1" ht="13.5" customHeight="1" x14ac:dyDescent="0.15">
      <c r="B127" s="286">
        <f>_Q128</f>
        <v>0</v>
      </c>
      <c r="C127" s="385" t="s">
        <v>468</v>
      </c>
      <c r="D127" s="311" t="s">
        <v>454</v>
      </c>
      <c r="E127" s="100"/>
      <c r="F127" s="101" t="str">
        <f>_T128</f>
        <v>Telling others about your psychological disorder(s).</v>
      </c>
      <c r="Q127" s="102"/>
    </row>
    <row r="128" spans="2:17" s="101" customFormat="1" ht="13.5" customHeight="1" x14ac:dyDescent="0.15">
      <c r="B128" s="286">
        <f>_Q175</f>
        <v>0</v>
      </c>
      <c r="C128" s="385" t="s">
        <v>469</v>
      </c>
      <c r="D128" s="311" t="s">
        <v>454</v>
      </c>
      <c r="E128" s="100"/>
      <c r="F128" s="101" t="str">
        <f>_T175</f>
        <v>Being willing to do or say almost anything to get somebody to feel that you are ‘special.’</v>
      </c>
      <c r="Q128" s="102"/>
    </row>
    <row r="129" spans="2:17" ht="13.5" customHeight="1" x14ac:dyDescent="0.15">
      <c r="B129" s="281">
        <f>_Q178</f>
        <v>0</v>
      </c>
      <c r="C129" s="388" t="s">
        <v>470</v>
      </c>
      <c r="D129" s="347" t="s">
        <v>471</v>
      </c>
      <c r="E129" s="87"/>
      <c r="F129" s="851" t="str">
        <f>_T178</f>
        <v>Being pleased by the concern and sympathy of others when they hear about the traumas that you have suffered.</v>
      </c>
      <c r="G129" s="851"/>
      <c r="H129" s="851"/>
      <c r="I129" s="851"/>
      <c r="J129" s="851"/>
      <c r="K129" s="851"/>
      <c r="L129" s="851"/>
      <c r="M129" s="851"/>
      <c r="N129" s="851"/>
      <c r="O129" s="851"/>
      <c r="P129" s="851"/>
      <c r="Q129" s="102"/>
    </row>
    <row r="130" spans="2:17" s="101" customFormat="1" ht="13.5" customHeight="1" x14ac:dyDescent="0.15">
      <c r="B130" s="251" t="s">
        <v>16</v>
      </c>
      <c r="C130" s="252"/>
      <c r="D130" s="252"/>
      <c r="E130" s="242"/>
      <c r="F130" s="242"/>
      <c r="G130" s="242"/>
      <c r="H130" s="242"/>
      <c r="I130" s="242"/>
      <c r="J130" s="242"/>
      <c r="K130" s="245"/>
      <c r="L130" s="486" t="s">
        <v>717</v>
      </c>
      <c r="M130" s="487">
        <f>Calculations!D27</f>
        <v>0</v>
      </c>
      <c r="N130" s="488"/>
      <c r="O130" s="469" t="s">
        <v>716</v>
      </c>
      <c r="P130" s="867" t="str">
        <f>Calculations!D28&amp;" of 7"</f>
        <v>0 of 7</v>
      </c>
      <c r="Q130" s="868"/>
    </row>
    <row r="131" spans="2:17" ht="27" customHeight="1" x14ac:dyDescent="0.15">
      <c r="B131" s="279">
        <f>_Q21</f>
        <v>0</v>
      </c>
      <c r="C131" s="383" t="s">
        <v>484</v>
      </c>
      <c r="D131" s="357" t="s">
        <v>462</v>
      </c>
      <c r="E131" s="45"/>
      <c r="F131" s="787" t="str">
        <f>_T21</f>
        <v>Pretending that something upsetting happened to you so that others would care about you (for example, being raped, military combat, physical or emotional abuse, sexual abuse, etc.).</v>
      </c>
      <c r="G131" s="787"/>
      <c r="H131" s="787"/>
      <c r="I131" s="787"/>
      <c r="J131" s="787"/>
      <c r="K131" s="787"/>
      <c r="L131" s="787"/>
      <c r="M131" s="787"/>
      <c r="N131" s="787"/>
      <c r="O131" s="787"/>
      <c r="P131" s="787"/>
      <c r="Q131" s="102"/>
    </row>
    <row r="132" spans="2:17" ht="13.5" customHeight="1" x14ac:dyDescent="0.15">
      <c r="B132" s="280">
        <f>_Q38</f>
        <v>0</v>
      </c>
      <c r="C132" s="384" t="s">
        <v>485</v>
      </c>
      <c r="D132" s="358" t="s">
        <v>462</v>
      </c>
      <c r="E132" s="45"/>
      <c r="F132" s="739" t="str">
        <f>_T38</f>
        <v>Pretending that you have a physical illness in order to get sympathy (for example, flu, cancer, headache, having an operation, etc.).</v>
      </c>
      <c r="G132" s="739"/>
      <c r="H132" s="739"/>
      <c r="I132" s="739"/>
      <c r="J132" s="739"/>
      <c r="K132" s="739"/>
      <c r="L132" s="739"/>
      <c r="M132" s="739"/>
      <c r="N132" s="739"/>
      <c r="O132" s="739"/>
      <c r="P132" s="739"/>
      <c r="Q132" s="102"/>
    </row>
    <row r="133" spans="2:17" ht="27" customHeight="1" x14ac:dyDescent="0.15">
      <c r="B133" s="280">
        <f>_Q63</f>
        <v>0</v>
      </c>
      <c r="C133" s="384" t="s">
        <v>486</v>
      </c>
      <c r="D133" s="358" t="s">
        <v>455</v>
      </c>
      <c r="E133" s="45"/>
      <c r="F133" s="739" t="str">
        <f>_T63</f>
        <v>Exaggerating the symptoms of a physical illness (that you genuinely have) in order to get sympathy or attention (for example, flu, cold, headache, fever, pain, etc.).</v>
      </c>
      <c r="G133" s="739"/>
      <c r="H133" s="739"/>
      <c r="I133" s="739"/>
      <c r="J133" s="739"/>
      <c r="K133" s="739"/>
      <c r="L133" s="739"/>
      <c r="M133" s="739"/>
      <c r="N133" s="739"/>
      <c r="O133" s="739"/>
      <c r="P133" s="739"/>
      <c r="Q133" s="102"/>
    </row>
    <row r="134" spans="2:17" s="101" customFormat="1" ht="13.5" customHeight="1" x14ac:dyDescent="0.15">
      <c r="B134" s="286">
        <f>_Q70</f>
        <v>0</v>
      </c>
      <c r="C134" s="385" t="s">
        <v>487</v>
      </c>
      <c r="D134" s="311" t="s">
        <v>463</v>
      </c>
      <c r="E134" s="100"/>
      <c r="F134" s="101" t="str">
        <f>_T70</f>
        <v>Having to ‘stretch the truth’ to get your doctor’s (or therapist’s) concern or attention.</v>
      </c>
      <c r="Q134" s="102"/>
    </row>
    <row r="135" spans="2:17" s="101" customFormat="1" ht="13.5" customHeight="1" x14ac:dyDescent="0.15">
      <c r="B135" s="286">
        <f>_Q75</f>
        <v>0</v>
      </c>
      <c r="C135" s="385" t="s">
        <v>488</v>
      </c>
      <c r="D135" s="311" t="s">
        <v>456</v>
      </c>
      <c r="E135" s="100"/>
      <c r="F135" s="101" t="str">
        <f>_T75</f>
        <v xml:space="preserve">Hurting yourself so that someone would care or pay attention. </v>
      </c>
      <c r="Q135" s="102"/>
    </row>
    <row r="136" spans="2:17" ht="27" customHeight="1" x14ac:dyDescent="0.15">
      <c r="B136" s="280">
        <f>_Q130</f>
        <v>0</v>
      </c>
      <c r="C136" s="384" t="s">
        <v>489</v>
      </c>
      <c r="D136" s="358" t="s">
        <v>463</v>
      </c>
      <c r="E136" s="45"/>
      <c r="F136" s="712" t="str">
        <f>_T130</f>
        <v xml:space="preserve">Exaggerating the symptoms of a psychological illness (that you genuinely have) in order to get sympathy or attention (for example, depression, bulimia, posttraumatic stress disorder, memory blackouts, being suicidal, etc.). </v>
      </c>
      <c r="G136" s="712"/>
      <c r="H136" s="712"/>
      <c r="I136" s="712"/>
      <c r="J136" s="712"/>
      <c r="K136" s="712"/>
      <c r="L136" s="712"/>
      <c r="M136" s="712"/>
      <c r="N136" s="712"/>
      <c r="O136" s="712"/>
      <c r="P136" s="712"/>
      <c r="Q136" s="124"/>
    </row>
    <row r="137" spans="2:17" ht="27" customHeight="1" thickBot="1" x14ac:dyDescent="0.2">
      <c r="B137" s="283">
        <f>_Q155</f>
        <v>0</v>
      </c>
      <c r="C137" s="386" t="s">
        <v>490</v>
      </c>
      <c r="D137" s="382" t="s">
        <v>455</v>
      </c>
      <c r="E137" s="88"/>
      <c r="F137" s="866" t="str">
        <f>_T155</f>
        <v xml:space="preserve">Exaggerating something bad that once happened to you (for example, rape, military combat, physical or emotional abuse, sexual abuse, mistreatment by your spouse, etc.) in order to get attention or sympathy.  </v>
      </c>
      <c r="G137" s="866"/>
      <c r="H137" s="866"/>
      <c r="I137" s="866"/>
      <c r="J137" s="866"/>
      <c r="K137" s="866"/>
      <c r="L137" s="866"/>
      <c r="M137" s="866"/>
      <c r="N137" s="866"/>
      <c r="O137" s="866"/>
      <c r="P137" s="866"/>
      <c r="Q137" s="139"/>
    </row>
    <row r="138" spans="2:17" ht="17" customHeight="1" x14ac:dyDescent="0.15">
      <c r="B138" s="113" t="s">
        <v>427</v>
      </c>
      <c r="C138" s="113"/>
      <c r="D138" s="113"/>
      <c r="E138" s="113"/>
      <c r="F138" s="113"/>
      <c r="G138" s="113"/>
      <c r="H138" s="113"/>
      <c r="I138" s="113"/>
      <c r="J138" s="113"/>
      <c r="K138" s="113"/>
      <c r="L138" s="113"/>
      <c r="M138" s="113"/>
      <c r="N138" s="113"/>
      <c r="O138" s="113"/>
      <c r="P138" s="113"/>
      <c r="Q138" s="113"/>
    </row>
    <row r="139" spans="2:17" ht="13" customHeight="1" x14ac:dyDescent="0.15">
      <c r="B139" s="113"/>
      <c r="C139" s="113"/>
      <c r="D139" s="113"/>
      <c r="E139" s="113"/>
      <c r="F139" s="113"/>
      <c r="G139" s="113"/>
      <c r="H139" s="113"/>
      <c r="I139" s="113"/>
      <c r="J139" s="113"/>
      <c r="K139" s="113"/>
      <c r="L139" s="113"/>
      <c r="M139" s="113"/>
      <c r="N139" s="113"/>
      <c r="O139" s="113"/>
      <c r="P139" s="113"/>
      <c r="Q139" s="113"/>
    </row>
    <row r="140" spans="2:17" ht="9" customHeight="1" x14ac:dyDescent="0.15">
      <c r="B140" s="113"/>
      <c r="C140" s="113"/>
      <c r="D140" s="113"/>
      <c r="E140" s="113"/>
      <c r="F140" s="113"/>
      <c r="G140" s="113"/>
      <c r="H140" s="113"/>
      <c r="I140" s="113"/>
      <c r="J140" s="113"/>
      <c r="K140" s="113"/>
      <c r="L140" s="113"/>
      <c r="M140" s="113"/>
      <c r="N140" s="113"/>
      <c r="O140" s="113"/>
      <c r="P140" s="113"/>
      <c r="Q140" s="113"/>
    </row>
    <row r="141" spans="2:17" ht="14" customHeight="1" thickBot="1" x14ac:dyDescent="0.2">
      <c r="B141" s="113"/>
      <c r="C141" s="113"/>
      <c r="D141" s="113"/>
      <c r="E141" s="113"/>
      <c r="F141" s="113"/>
      <c r="G141" s="113"/>
      <c r="H141" s="113"/>
      <c r="I141" s="113"/>
      <c r="J141" s="113"/>
      <c r="K141" s="113"/>
      <c r="L141" s="113"/>
      <c r="M141" s="113"/>
      <c r="N141" s="113"/>
      <c r="O141" s="113"/>
      <c r="P141" s="113"/>
      <c r="Q141" s="113"/>
    </row>
    <row r="142" spans="2:17" s="211" customFormat="1" ht="16" customHeight="1" thickBot="1" x14ac:dyDescent="0.2">
      <c r="B142" s="726" t="s">
        <v>694</v>
      </c>
      <c r="C142" s="727"/>
      <c r="D142" s="727"/>
      <c r="E142" s="727"/>
      <c r="F142" s="727"/>
      <c r="G142" s="727"/>
      <c r="H142" s="727"/>
      <c r="I142" s="727"/>
      <c r="J142" s="727"/>
      <c r="K142" s="727"/>
      <c r="L142" s="727"/>
      <c r="M142" s="727"/>
      <c r="N142" s="727"/>
      <c r="O142" s="727"/>
      <c r="P142" s="727"/>
      <c r="Q142" s="728"/>
    </row>
    <row r="143" spans="2:17" s="101" customFormat="1" x14ac:dyDescent="0.15">
      <c r="B143" s="450" t="s">
        <v>677</v>
      </c>
      <c r="C143" s="451"/>
      <c r="D143" s="451"/>
      <c r="E143" s="455"/>
      <c r="F143" s="253"/>
      <c r="G143" s="253"/>
      <c r="H143" s="253"/>
      <c r="I143" s="253"/>
      <c r="J143" s="253"/>
      <c r="K143" s="253"/>
      <c r="L143" s="546" t="s">
        <v>717</v>
      </c>
      <c r="M143" s="547">
        <f>Calculations!D310</f>
        <v>0</v>
      </c>
      <c r="N143" s="852" t="s">
        <v>716</v>
      </c>
      <c r="O143" s="853"/>
      <c r="P143" s="854" t="str">
        <f>Calculations!D312&amp;" of 4"</f>
        <v>0 of 4</v>
      </c>
      <c r="Q143" s="855"/>
    </row>
    <row r="144" spans="2:17" ht="13.5" customHeight="1" x14ac:dyDescent="0.15">
      <c r="B144" s="380">
        <f>_Q12</f>
        <v>0</v>
      </c>
      <c r="C144" s="360" t="s">
        <v>464</v>
      </c>
      <c r="D144" s="357" t="s">
        <v>455</v>
      </c>
      <c r="E144" s="45"/>
      <c r="F144" s="33" t="str">
        <f>_T12</f>
        <v>Trying to make someone jealous.</v>
      </c>
      <c r="Q144" s="75"/>
    </row>
    <row r="145" spans="2:17" ht="27" customHeight="1" x14ac:dyDescent="0.15">
      <c r="B145" s="381">
        <f>_Q21</f>
        <v>0</v>
      </c>
      <c r="C145" s="361" t="s">
        <v>484</v>
      </c>
      <c r="D145" s="358" t="s">
        <v>462</v>
      </c>
      <c r="E145" s="45"/>
      <c r="F145" s="712" t="str">
        <f>_T21</f>
        <v>Pretending that something upsetting happened to you so that others would care about you (for example, being raped, military combat, physical or emotional abuse, sexual abuse, etc.).</v>
      </c>
      <c r="G145" s="712"/>
      <c r="H145" s="712"/>
      <c r="I145" s="712"/>
      <c r="J145" s="712"/>
      <c r="K145" s="712"/>
      <c r="L145" s="712"/>
      <c r="M145" s="712"/>
      <c r="N145" s="712"/>
      <c r="O145" s="712"/>
      <c r="P145" s="712"/>
      <c r="Q145" s="124"/>
    </row>
    <row r="146" spans="2:17" ht="13.5" customHeight="1" x14ac:dyDescent="0.15">
      <c r="B146" s="381">
        <f>_Q38</f>
        <v>0</v>
      </c>
      <c r="C146" s="361" t="s">
        <v>485</v>
      </c>
      <c r="D146" s="358" t="s">
        <v>462</v>
      </c>
      <c r="E146" s="45"/>
      <c r="F146" s="712" t="str">
        <f>_T38</f>
        <v>Pretending that you have a physical illness in order to get sympathy (for example, flu, cancer, headache, having an operation, etc.).</v>
      </c>
      <c r="G146" s="712"/>
      <c r="H146" s="712"/>
      <c r="I146" s="712"/>
      <c r="J146" s="712"/>
      <c r="K146" s="712"/>
      <c r="L146" s="712"/>
      <c r="M146" s="712"/>
      <c r="N146" s="712"/>
      <c r="O146" s="712"/>
      <c r="P146" s="712"/>
      <c r="Q146" s="124"/>
    </row>
    <row r="147" spans="2:17" s="101" customFormat="1" ht="13.5" customHeight="1" x14ac:dyDescent="0.15">
      <c r="B147" s="452">
        <f>_Q75</f>
        <v>0</v>
      </c>
      <c r="C147" s="362" t="s">
        <v>488</v>
      </c>
      <c r="D147" s="359" t="s">
        <v>456</v>
      </c>
      <c r="E147" s="453"/>
      <c r="F147" s="193" t="str">
        <f>_T75</f>
        <v xml:space="preserve">Hurting yourself so that someone would care or pay attention. </v>
      </c>
      <c r="G147" s="193"/>
      <c r="H147" s="193"/>
      <c r="I147" s="193"/>
      <c r="J147" s="193"/>
      <c r="K147" s="193"/>
      <c r="L147" s="193"/>
      <c r="M147" s="193"/>
      <c r="N147" s="193"/>
      <c r="O147" s="193"/>
      <c r="P147" s="193"/>
      <c r="Q147" s="454"/>
    </row>
    <row r="148" spans="2:17" s="101" customFormat="1" x14ac:dyDescent="0.15">
      <c r="B148" s="450" t="s">
        <v>749</v>
      </c>
      <c r="C148" s="451"/>
      <c r="D148" s="451"/>
      <c r="E148" s="253"/>
      <c r="F148" s="253"/>
      <c r="G148" s="253"/>
      <c r="H148" s="253"/>
      <c r="I148" s="253"/>
      <c r="J148" s="253"/>
      <c r="K148" s="254"/>
      <c r="L148" s="546" t="s">
        <v>695</v>
      </c>
      <c r="M148" s="547">
        <f>Calculations!D239</f>
        <v>0</v>
      </c>
      <c r="N148" s="255"/>
      <c r="O148" s="548"/>
      <c r="P148" s="548"/>
      <c r="Q148" s="549"/>
    </row>
    <row r="149" spans="2:17" ht="27" customHeight="1" x14ac:dyDescent="0.15">
      <c r="B149" s="279">
        <f>_Q11</f>
        <v>0</v>
      </c>
      <c r="C149" s="341" t="s">
        <v>472</v>
      </c>
      <c r="D149" s="338" t="s">
        <v>462</v>
      </c>
      <c r="E149" s="92"/>
      <c r="F149" s="862" t="str">
        <f>_T11</f>
        <v>Feeling that your mind or body has been taken over by a famous person (for example, Elvis Presley, Jesus Christ, Madonna, President Kennedy, etc.).</v>
      </c>
      <c r="G149" s="862"/>
      <c r="H149" s="862"/>
      <c r="I149" s="862"/>
      <c r="J149" s="862"/>
      <c r="K149" s="862"/>
      <c r="L149" s="862"/>
      <c r="M149" s="862"/>
      <c r="N149" s="862"/>
      <c r="O149" s="862"/>
      <c r="P149" s="862"/>
      <c r="Q149" s="158"/>
    </row>
    <row r="150" spans="2:17" ht="13.5" customHeight="1" x14ac:dyDescent="0.15">
      <c r="B150" s="280">
        <f>_Q12</f>
        <v>0</v>
      </c>
      <c r="C150" s="342" t="s">
        <v>464</v>
      </c>
      <c r="D150" s="339" t="s">
        <v>455</v>
      </c>
      <c r="E150" s="91"/>
      <c r="F150" s="101" t="str">
        <f>_T12</f>
        <v>Trying to make someone jealous.</v>
      </c>
      <c r="G150" s="101"/>
      <c r="H150" s="101"/>
      <c r="I150" s="101"/>
      <c r="J150" s="101"/>
      <c r="K150" s="101"/>
      <c r="L150" s="101"/>
      <c r="M150" s="101"/>
      <c r="N150" s="101"/>
      <c r="O150" s="101"/>
      <c r="P150" s="101"/>
      <c r="Q150" s="102"/>
    </row>
    <row r="151" spans="2:17" ht="27" customHeight="1" x14ac:dyDescent="0.15">
      <c r="B151" s="280">
        <f>_Q21</f>
        <v>0</v>
      </c>
      <c r="C151" s="342" t="s">
        <v>484</v>
      </c>
      <c r="D151" s="339" t="s">
        <v>462</v>
      </c>
      <c r="E151" s="91"/>
      <c r="F151" s="739" t="str">
        <f>_T21</f>
        <v>Pretending that something upsetting happened to you so that others would care about you (for example, being raped, military combat, physical or emotional abuse, sexual abuse, etc.).</v>
      </c>
      <c r="G151" s="739"/>
      <c r="H151" s="739"/>
      <c r="I151" s="739"/>
      <c r="J151" s="739"/>
      <c r="K151" s="739"/>
      <c r="L151" s="739"/>
      <c r="M151" s="739"/>
      <c r="N151" s="739"/>
      <c r="O151" s="739"/>
      <c r="P151" s="739"/>
      <c r="Q151" s="104"/>
    </row>
    <row r="152" spans="2:17" ht="13.5" customHeight="1" x14ac:dyDescent="0.15">
      <c r="B152" s="280">
        <f>_Q38</f>
        <v>0</v>
      </c>
      <c r="C152" s="342" t="s">
        <v>485</v>
      </c>
      <c r="D152" s="339" t="s">
        <v>462</v>
      </c>
      <c r="E152" s="91"/>
      <c r="F152" s="739" t="str">
        <f>_T38</f>
        <v>Pretending that you have a physical illness in order to get sympathy (for example, flu, cancer, headache, having an operation, etc.).</v>
      </c>
      <c r="G152" s="739"/>
      <c r="H152" s="739"/>
      <c r="I152" s="739"/>
      <c r="J152" s="739"/>
      <c r="K152" s="739"/>
      <c r="L152" s="739"/>
      <c r="M152" s="739"/>
      <c r="N152" s="739"/>
      <c r="O152" s="739"/>
      <c r="P152" s="739"/>
      <c r="Q152" s="104"/>
    </row>
    <row r="153" spans="2:17" ht="13.5" customHeight="1" x14ac:dyDescent="0.15">
      <c r="B153" s="280">
        <f>_Q47</f>
        <v>0</v>
      </c>
      <c r="C153" s="342" t="s">
        <v>465</v>
      </c>
      <c r="D153" s="339" t="s">
        <v>453</v>
      </c>
      <c r="E153" s="91"/>
      <c r="F153" s="101" t="str">
        <f>_T47</f>
        <v xml:space="preserve">Talking to others about how you have been hurt or mistreated.  </v>
      </c>
      <c r="G153" s="101"/>
      <c r="H153" s="101"/>
      <c r="I153" s="101"/>
      <c r="J153" s="101"/>
      <c r="K153" s="101"/>
      <c r="L153" s="101"/>
      <c r="M153" s="101"/>
      <c r="N153" s="101"/>
      <c r="O153" s="101"/>
      <c r="P153" s="101"/>
      <c r="Q153" s="102"/>
    </row>
    <row r="154" spans="2:17" ht="13.5" customHeight="1" x14ac:dyDescent="0.15">
      <c r="B154" s="280">
        <f>_Q51</f>
        <v>0</v>
      </c>
      <c r="C154" s="342" t="s">
        <v>466</v>
      </c>
      <c r="D154" s="339" t="s">
        <v>453</v>
      </c>
      <c r="E154" s="91"/>
      <c r="F154" s="101" t="str">
        <f>_T51</f>
        <v>Talking to others about very serious traumas that you have experienced.</v>
      </c>
      <c r="G154" s="101"/>
      <c r="H154" s="101"/>
      <c r="I154" s="101"/>
      <c r="J154" s="101"/>
      <c r="K154" s="101"/>
      <c r="L154" s="101"/>
      <c r="M154" s="101"/>
      <c r="N154" s="101"/>
      <c r="O154" s="101"/>
      <c r="P154" s="101"/>
      <c r="Q154" s="102"/>
    </row>
    <row r="155" spans="2:17" ht="13.5" customHeight="1" x14ac:dyDescent="0.15">
      <c r="B155" s="280">
        <f>_Q52</f>
        <v>0</v>
      </c>
      <c r="C155" s="342" t="s">
        <v>475</v>
      </c>
      <c r="D155" s="339" t="s">
        <v>462</v>
      </c>
      <c r="E155" s="91"/>
      <c r="F155" s="101" t="str">
        <f>_T52</f>
        <v>Your thoughts being broadcast so that other people can actually hear them.</v>
      </c>
      <c r="G155" s="101"/>
      <c r="H155" s="101"/>
      <c r="I155" s="101"/>
      <c r="J155" s="101"/>
      <c r="K155" s="101"/>
      <c r="L155" s="101"/>
      <c r="M155" s="101"/>
      <c r="N155" s="101"/>
      <c r="O155" s="101"/>
      <c r="P155" s="101"/>
      <c r="Q155" s="102"/>
    </row>
    <row r="156" spans="2:17" ht="13.5" customHeight="1" x14ac:dyDescent="0.15">
      <c r="B156" s="280">
        <f>_Q54</f>
        <v>0</v>
      </c>
      <c r="C156" s="342" t="s">
        <v>444</v>
      </c>
      <c r="D156" s="339" t="s">
        <v>454</v>
      </c>
      <c r="E156" s="91"/>
      <c r="F156" s="101" t="str">
        <f>_T54</f>
        <v>Being rejected by others.</v>
      </c>
      <c r="G156" s="101"/>
      <c r="H156" s="101"/>
      <c r="I156" s="101"/>
      <c r="J156" s="101"/>
      <c r="K156" s="101"/>
      <c r="L156" s="101"/>
      <c r="M156" s="101"/>
      <c r="N156" s="101"/>
      <c r="O156" s="101"/>
      <c r="P156" s="101"/>
      <c r="Q156" s="102"/>
    </row>
    <row r="157" spans="2:17" ht="27" customHeight="1" x14ac:dyDescent="0.15">
      <c r="B157" s="280">
        <f>_Q63</f>
        <v>0</v>
      </c>
      <c r="C157" s="342" t="s">
        <v>486</v>
      </c>
      <c r="D157" s="339" t="s">
        <v>455</v>
      </c>
      <c r="E157" s="91"/>
      <c r="F157" s="739" t="str">
        <f>_T63</f>
        <v>Exaggerating the symptoms of a physical illness (that you genuinely have) in order to get sympathy or attention (for example, flu, cold, headache, fever, pain, etc.).</v>
      </c>
      <c r="G157" s="739"/>
      <c r="H157" s="739"/>
      <c r="I157" s="739"/>
      <c r="J157" s="739"/>
      <c r="K157" s="739"/>
      <c r="L157" s="739"/>
      <c r="M157" s="739"/>
      <c r="N157" s="739"/>
      <c r="O157" s="739"/>
      <c r="P157" s="739"/>
      <c r="Q157" s="104"/>
    </row>
    <row r="158" spans="2:17" ht="13.5" customHeight="1" x14ac:dyDescent="0.15">
      <c r="B158" s="280">
        <f>_Q70</f>
        <v>0</v>
      </c>
      <c r="C158" s="342" t="s">
        <v>487</v>
      </c>
      <c r="D158" s="339" t="s">
        <v>463</v>
      </c>
      <c r="E158" s="91"/>
      <c r="F158" s="101" t="str">
        <f>_T70</f>
        <v>Having to ‘stretch the truth’ to get your doctor’s (or therapist’s) concern or attention.</v>
      </c>
      <c r="G158" s="101"/>
      <c r="H158" s="101"/>
      <c r="I158" s="101"/>
      <c r="J158" s="101"/>
      <c r="K158" s="101"/>
      <c r="L158" s="101"/>
      <c r="M158" s="101"/>
      <c r="N158" s="101"/>
      <c r="O158" s="101"/>
      <c r="P158" s="101"/>
      <c r="Q158" s="102"/>
    </row>
    <row r="159" spans="2:17" ht="13.5" customHeight="1" x14ac:dyDescent="0.15">
      <c r="B159" s="280">
        <f>_Q75</f>
        <v>0</v>
      </c>
      <c r="C159" s="342" t="s">
        <v>488</v>
      </c>
      <c r="D159" s="339" t="s">
        <v>456</v>
      </c>
      <c r="E159" s="91"/>
      <c r="F159" s="101" t="str">
        <f>_T75</f>
        <v xml:space="preserve">Hurting yourself so that someone would care or pay attention. </v>
      </c>
      <c r="G159" s="101"/>
      <c r="H159" s="101"/>
      <c r="I159" s="101"/>
      <c r="J159" s="101"/>
      <c r="K159" s="101"/>
      <c r="L159" s="101"/>
      <c r="M159" s="101"/>
      <c r="N159" s="101"/>
      <c r="O159" s="101"/>
      <c r="P159" s="101"/>
      <c r="Q159" s="102"/>
    </row>
    <row r="160" spans="2:17" ht="13.5" customHeight="1" x14ac:dyDescent="0.15">
      <c r="B160" s="280">
        <f>_Q128</f>
        <v>0</v>
      </c>
      <c r="C160" s="342" t="s">
        <v>468</v>
      </c>
      <c r="D160" s="339" t="s">
        <v>454</v>
      </c>
      <c r="E160" s="91"/>
      <c r="F160" s="33" t="str">
        <f>_T128</f>
        <v>Telling others about your psychological disorder(s).</v>
      </c>
      <c r="Q160" s="75"/>
    </row>
    <row r="161" spans="2:17" ht="27" customHeight="1" x14ac:dyDescent="0.15">
      <c r="B161" s="280">
        <f>_Q130</f>
        <v>0</v>
      </c>
      <c r="C161" s="342" t="s">
        <v>489</v>
      </c>
      <c r="D161" s="339" t="s">
        <v>463</v>
      </c>
      <c r="E161" s="91"/>
      <c r="F161" s="712" t="str">
        <f>_T130</f>
        <v xml:space="preserve">Exaggerating the symptoms of a psychological illness (that you genuinely have) in order to get sympathy or attention (for example, depression, bulimia, posttraumatic stress disorder, memory blackouts, being suicidal, etc.). </v>
      </c>
      <c r="G161" s="712"/>
      <c r="H161" s="712"/>
      <c r="I161" s="712"/>
      <c r="J161" s="712"/>
      <c r="K161" s="712"/>
      <c r="L161" s="712"/>
      <c r="M161" s="712"/>
      <c r="N161" s="712"/>
      <c r="O161" s="712"/>
      <c r="P161" s="712"/>
      <c r="Q161" s="124"/>
    </row>
    <row r="162" spans="2:17" ht="13.5" customHeight="1" x14ac:dyDescent="0.15">
      <c r="B162" s="280">
        <f>_Q153</f>
        <v>0</v>
      </c>
      <c r="C162" s="342" t="s">
        <v>479</v>
      </c>
      <c r="D162" s="339" t="s">
        <v>462</v>
      </c>
      <c r="E162" s="91"/>
      <c r="F162" s="712" t="str">
        <f>_T153</f>
        <v>Having trance-like episodes during which you see yourself being taken into a spaceship and experimented on by aliens.</v>
      </c>
      <c r="G162" s="712"/>
      <c r="H162" s="712"/>
      <c r="I162" s="712"/>
      <c r="J162" s="712"/>
      <c r="K162" s="712"/>
      <c r="L162" s="712"/>
      <c r="M162" s="712"/>
      <c r="N162" s="712"/>
      <c r="O162" s="712"/>
      <c r="P162" s="712"/>
      <c r="Q162" s="124"/>
    </row>
    <row r="163" spans="2:17" ht="27" customHeight="1" x14ac:dyDescent="0.15">
      <c r="B163" s="280">
        <f>_Q155</f>
        <v>0</v>
      </c>
      <c r="C163" s="342" t="s">
        <v>490</v>
      </c>
      <c r="D163" s="339" t="s">
        <v>455</v>
      </c>
      <c r="E163" s="91"/>
      <c r="F163" s="712" t="str">
        <f>_T155</f>
        <v xml:space="preserve">Exaggerating something bad that once happened to you (for example, rape, military combat, physical or emotional abuse, sexual abuse, mistreatment by your spouse, etc.) in order to get attention or sympathy.  </v>
      </c>
      <c r="G163" s="712"/>
      <c r="H163" s="712"/>
      <c r="I163" s="712"/>
      <c r="J163" s="712"/>
      <c r="K163" s="712"/>
      <c r="L163" s="712"/>
      <c r="M163" s="712"/>
      <c r="N163" s="712"/>
      <c r="O163" s="712"/>
      <c r="P163" s="712"/>
      <c r="Q163" s="124"/>
    </row>
    <row r="164" spans="2:17" ht="13.5" customHeight="1" x14ac:dyDescent="0.15">
      <c r="B164" s="280">
        <f>_Q175</f>
        <v>0</v>
      </c>
      <c r="C164" s="342" t="s">
        <v>469</v>
      </c>
      <c r="D164" s="339" t="s">
        <v>454</v>
      </c>
      <c r="E164" s="91"/>
      <c r="F164" s="33" t="str">
        <f>_T175</f>
        <v>Being willing to do or say almost anything to get somebody to feel that you are ‘special.’</v>
      </c>
      <c r="Q164" s="75"/>
    </row>
    <row r="165" spans="2:17" ht="13.5" customHeight="1" thickBot="1" x14ac:dyDescent="0.2">
      <c r="B165" s="283">
        <f>_Q178</f>
        <v>0</v>
      </c>
      <c r="C165" s="343" t="s">
        <v>470</v>
      </c>
      <c r="D165" s="340" t="s">
        <v>471</v>
      </c>
      <c r="E165" s="77"/>
      <c r="F165" s="76" t="str">
        <f>_T178</f>
        <v>Being pleased by the concern and sympathy of others when they hear about the traumas that you have suffered.</v>
      </c>
      <c r="G165" s="76"/>
      <c r="H165" s="76"/>
      <c r="I165" s="76"/>
      <c r="J165" s="76"/>
      <c r="K165" s="76"/>
      <c r="L165" s="76"/>
      <c r="M165" s="76"/>
      <c r="N165" s="76"/>
      <c r="O165" s="76"/>
      <c r="P165" s="76"/>
      <c r="Q165" s="116"/>
    </row>
    <row r="166" spans="2:17" ht="11" customHeight="1" thickBot="1" x14ac:dyDescent="0.2">
      <c r="B166" s="91"/>
      <c r="C166" s="138"/>
      <c r="D166" s="134"/>
      <c r="E166" s="91"/>
    </row>
    <row r="167" spans="2:17" s="545" customFormat="1" ht="16" customHeight="1" thickBot="1" x14ac:dyDescent="0.2">
      <c r="B167" s="719" t="s">
        <v>720</v>
      </c>
      <c r="C167" s="720"/>
      <c r="D167" s="720"/>
      <c r="E167" s="720"/>
      <c r="F167" s="720"/>
      <c r="G167" s="720"/>
      <c r="H167" s="720"/>
      <c r="I167" s="720"/>
      <c r="J167" s="720"/>
      <c r="K167" s="720"/>
      <c r="L167" s="720"/>
      <c r="M167" s="720"/>
      <c r="N167" s="720"/>
      <c r="O167" s="720"/>
      <c r="P167" s="720"/>
      <c r="Q167" s="721"/>
    </row>
    <row r="168" spans="2:17" s="101" customFormat="1" ht="13" customHeight="1" x14ac:dyDescent="0.15">
      <c r="B168" s="447" t="s">
        <v>678</v>
      </c>
      <c r="C168" s="448"/>
      <c r="D168" s="448"/>
      <c r="E168" s="449"/>
      <c r="F168" s="449"/>
      <c r="G168" s="449"/>
      <c r="H168" s="449"/>
      <c r="I168" s="449"/>
      <c r="J168" s="449"/>
      <c r="K168" s="449"/>
      <c r="L168" s="543" t="s">
        <v>717</v>
      </c>
      <c r="M168" s="544">
        <f>Calculations!D306</f>
        <v>0</v>
      </c>
      <c r="N168" s="815" t="s">
        <v>716</v>
      </c>
      <c r="O168" s="816"/>
      <c r="P168" s="733" t="str">
        <f>Calculations!D307&amp;" of 10"</f>
        <v>0 of 10</v>
      </c>
      <c r="Q168" s="734"/>
    </row>
    <row r="169" spans="2:17" s="101" customFormat="1" x14ac:dyDescent="0.15">
      <c r="B169" s="443" t="s">
        <v>681</v>
      </c>
      <c r="C169" s="444"/>
      <c r="D169" s="444"/>
      <c r="E169" s="445"/>
      <c r="F169" s="445"/>
      <c r="G169" s="445"/>
      <c r="H169" s="445"/>
      <c r="I169" s="445"/>
      <c r="J169" s="445"/>
      <c r="K169" s="445"/>
      <c r="L169" s="445"/>
      <c r="M169" s="445"/>
      <c r="N169" s="445"/>
      <c r="O169" s="445"/>
      <c r="P169" s="445"/>
      <c r="Q169" s="446"/>
    </row>
    <row r="170" spans="2:17" ht="13.5" customHeight="1" x14ac:dyDescent="0.15">
      <c r="B170" s="285">
        <f>_Q84</f>
        <v>0</v>
      </c>
      <c r="C170" s="288" t="s">
        <v>612</v>
      </c>
      <c r="D170" s="301" t="s">
        <v>463</v>
      </c>
      <c r="E170" s="91"/>
      <c r="F170" s="101" t="str">
        <f>_T84</f>
        <v>Hearing a voice in your head that wants you to hurt yourself.</v>
      </c>
      <c r="G170" s="101"/>
      <c r="H170" s="101"/>
      <c r="I170" s="101"/>
      <c r="J170" s="101"/>
      <c r="K170" s="101"/>
      <c r="L170" s="101"/>
      <c r="M170" s="101"/>
      <c r="N170" s="101"/>
      <c r="O170" s="101"/>
      <c r="P170" s="101"/>
      <c r="Q170" s="102"/>
    </row>
    <row r="171" spans="2:17" ht="13.5" customHeight="1" x14ac:dyDescent="0.15">
      <c r="B171" s="377">
        <f>_Q159</f>
        <v>0</v>
      </c>
      <c r="C171" s="378" t="s">
        <v>614</v>
      </c>
      <c r="D171" s="379" t="s">
        <v>463</v>
      </c>
      <c r="E171" s="91"/>
      <c r="F171" s="101" t="str">
        <f>_T159</f>
        <v xml:space="preserve">Hearing a voice in your head that wants you to die.  </v>
      </c>
      <c r="G171" s="101"/>
      <c r="H171" s="101"/>
      <c r="I171" s="101"/>
      <c r="J171" s="101"/>
      <c r="K171" s="101"/>
      <c r="L171" s="101"/>
      <c r="M171" s="101"/>
      <c r="N171" s="101"/>
      <c r="O171" s="101"/>
      <c r="P171" s="101"/>
      <c r="Q171" s="102"/>
    </row>
    <row r="172" spans="2:17" s="101" customFormat="1" x14ac:dyDescent="0.15">
      <c r="B172" s="441" t="s">
        <v>680</v>
      </c>
      <c r="C172" s="442"/>
      <c r="D172" s="442"/>
      <c r="E172" s="183"/>
      <c r="F172" s="183"/>
      <c r="G172" s="183"/>
      <c r="H172" s="183"/>
      <c r="I172" s="183"/>
      <c r="J172" s="183"/>
      <c r="K172" s="183"/>
      <c r="L172" s="183"/>
      <c r="M172" s="183"/>
      <c r="N172" s="183"/>
      <c r="O172" s="183"/>
      <c r="P172" s="183"/>
      <c r="Q172" s="184"/>
    </row>
    <row r="173" spans="2:17" ht="13.5" customHeight="1" x14ac:dyDescent="0.15">
      <c r="B173" s="285">
        <f>_Q105</f>
        <v>0</v>
      </c>
      <c r="C173" s="375" t="s">
        <v>555</v>
      </c>
      <c r="D173" s="373" t="s">
        <v>462</v>
      </c>
      <c r="E173" s="91"/>
      <c r="F173" s="101" t="str">
        <f>_T105</f>
        <v>Having traumatic flashbacks that make you want to inflict pain on yourself.</v>
      </c>
      <c r="G173" s="101"/>
      <c r="H173" s="101"/>
      <c r="I173" s="101"/>
      <c r="J173" s="101"/>
      <c r="K173" s="101"/>
      <c r="L173" s="101"/>
      <c r="M173" s="101"/>
      <c r="N173" s="101"/>
      <c r="O173" s="101"/>
      <c r="P173" s="101"/>
      <c r="Q173" s="102"/>
    </row>
    <row r="174" spans="2:17" ht="13.5" customHeight="1" x14ac:dyDescent="0.15">
      <c r="B174" s="377">
        <f>_Q137</f>
        <v>0</v>
      </c>
      <c r="C174" s="376" t="s">
        <v>558</v>
      </c>
      <c r="D174" s="374" t="s">
        <v>462</v>
      </c>
      <c r="E174" s="91"/>
      <c r="F174" s="101" t="str">
        <f>_T137</f>
        <v>Having traumatic flashbacks that make you want to die.</v>
      </c>
      <c r="G174" s="101"/>
      <c r="H174" s="101"/>
      <c r="I174" s="101"/>
      <c r="J174" s="101"/>
      <c r="K174" s="101"/>
      <c r="L174" s="101"/>
      <c r="M174" s="101"/>
      <c r="N174" s="101"/>
      <c r="O174" s="101"/>
      <c r="P174" s="101"/>
      <c r="Q174" s="102"/>
    </row>
    <row r="175" spans="2:17" s="101" customFormat="1" x14ac:dyDescent="0.15">
      <c r="B175" s="402" t="s">
        <v>679</v>
      </c>
      <c r="C175" s="403"/>
      <c r="D175" s="403"/>
      <c r="E175" s="183"/>
      <c r="F175" s="183"/>
      <c r="G175" s="183"/>
      <c r="H175" s="183"/>
      <c r="I175" s="183"/>
      <c r="J175" s="183"/>
      <c r="K175" s="183"/>
      <c r="L175" s="183"/>
      <c r="M175" s="183"/>
      <c r="N175" s="183"/>
      <c r="O175" s="183"/>
      <c r="P175" s="183"/>
      <c r="Q175" s="184"/>
    </row>
    <row r="176" spans="2:17" ht="13.5" customHeight="1" x14ac:dyDescent="0.15">
      <c r="B176" s="285">
        <f>_Q86</f>
        <v>0</v>
      </c>
      <c r="C176" s="375" t="s">
        <v>594</v>
      </c>
      <c r="D176" s="373" t="s">
        <v>462</v>
      </c>
      <c r="E176" s="91"/>
      <c r="F176" s="101" t="str">
        <f>_T86</f>
        <v>After a nightmare, you wake up and find yourself not in bed (for example, on the floor, in the closet, etc.).</v>
      </c>
      <c r="G176" s="101"/>
      <c r="H176" s="101"/>
      <c r="I176" s="101"/>
      <c r="J176" s="101"/>
      <c r="K176" s="101"/>
      <c r="L176" s="101"/>
      <c r="M176" s="101"/>
      <c r="N176" s="101"/>
      <c r="O176" s="101"/>
      <c r="P176" s="101"/>
      <c r="Q176" s="102"/>
    </row>
    <row r="177" spans="2:17" ht="27" customHeight="1" x14ac:dyDescent="0.15">
      <c r="B177" s="377">
        <f>_Q173</f>
        <v>0</v>
      </c>
      <c r="C177" s="376" t="s">
        <v>651</v>
      </c>
      <c r="D177" s="374" t="s">
        <v>462</v>
      </c>
      <c r="E177" s="91"/>
      <c r="F177" s="809" t="str">
        <f>_T173</f>
        <v xml:space="preserve">Suddenly finding yourself somewhere (for example, at the beach, at work, in a nightclub, in your car, etc.) with no memory of how you got there. </v>
      </c>
      <c r="G177" s="809"/>
      <c r="H177" s="809"/>
      <c r="I177" s="809"/>
      <c r="J177" s="809"/>
      <c r="K177" s="809"/>
      <c r="L177" s="809"/>
      <c r="M177" s="809"/>
      <c r="N177" s="809"/>
      <c r="O177" s="809"/>
      <c r="P177" s="809"/>
      <c r="Q177" s="160"/>
    </row>
    <row r="178" spans="2:17" s="101" customFormat="1" x14ac:dyDescent="0.15">
      <c r="B178" s="402" t="s">
        <v>682</v>
      </c>
      <c r="C178" s="403"/>
      <c r="D178" s="403"/>
      <c r="E178" s="183"/>
      <c r="F178" s="183"/>
      <c r="G178" s="183"/>
      <c r="H178" s="183"/>
      <c r="I178" s="183"/>
      <c r="J178" s="183"/>
      <c r="K178" s="183"/>
      <c r="L178" s="183"/>
      <c r="M178" s="183"/>
      <c r="N178" s="183"/>
      <c r="O178" s="183"/>
      <c r="P178" s="183"/>
      <c r="Q178" s="184"/>
    </row>
    <row r="179" spans="2:17" ht="27" customHeight="1" x14ac:dyDescent="0.15">
      <c r="B179" s="285">
        <f>_Q170</f>
        <v>0</v>
      </c>
      <c r="C179" s="288" t="s">
        <v>655</v>
      </c>
      <c r="D179" s="301" t="s">
        <v>463</v>
      </c>
      <c r="E179" s="91"/>
      <c r="F179" s="810" t="str">
        <f>_T170</f>
        <v>Discovering that you have a significant injury (for example, a cut, or a burn, or many bruises), and having no memory of how it happened.</v>
      </c>
      <c r="G179" s="810"/>
      <c r="H179" s="810"/>
      <c r="I179" s="810"/>
      <c r="J179" s="810"/>
      <c r="K179" s="810"/>
      <c r="L179" s="810"/>
      <c r="M179" s="810"/>
      <c r="N179" s="810"/>
      <c r="O179" s="810"/>
      <c r="P179" s="810"/>
      <c r="Q179" s="161"/>
    </row>
    <row r="180" spans="2:17" s="101" customFormat="1" ht="13.5" customHeight="1" x14ac:dyDescent="0.15">
      <c r="B180" s="286">
        <f>_Q186</f>
        <v>0</v>
      </c>
      <c r="C180" s="289" t="s">
        <v>602</v>
      </c>
      <c r="D180" s="302" t="s">
        <v>462</v>
      </c>
      <c r="E180" s="114"/>
      <c r="F180" s="739" t="str">
        <f>_T186</f>
        <v>Discovering that you have attempted suicide, but having no memory of having done it.</v>
      </c>
      <c r="G180" s="739"/>
      <c r="H180" s="739"/>
      <c r="I180" s="739"/>
      <c r="J180" s="739"/>
      <c r="K180" s="739"/>
      <c r="L180" s="739"/>
      <c r="M180" s="739"/>
      <c r="N180" s="739"/>
      <c r="O180" s="739"/>
      <c r="P180" s="739"/>
      <c r="Q180" s="104"/>
    </row>
    <row r="181" spans="2:17" s="101" customFormat="1" ht="13.5" customHeight="1" x14ac:dyDescent="0.15">
      <c r="B181" s="287">
        <f>_Q204</f>
        <v>0</v>
      </c>
      <c r="C181" s="290" t="s">
        <v>649</v>
      </c>
      <c r="D181" s="303" t="s">
        <v>462</v>
      </c>
      <c r="E181" s="114"/>
      <c r="F181" s="101" t="str">
        <f>_T204</f>
        <v xml:space="preserve">There were times when you ‘came to’ and found pills or a razor blade (or something else to hurt yourself with) in your hand.  </v>
      </c>
      <c r="Q181" s="102"/>
    </row>
    <row r="182" spans="2:17" s="101" customFormat="1" x14ac:dyDescent="0.15">
      <c r="B182" s="402" t="s">
        <v>683</v>
      </c>
      <c r="C182" s="403"/>
      <c r="D182" s="403"/>
      <c r="E182" s="183"/>
      <c r="F182" s="183"/>
      <c r="G182" s="183"/>
      <c r="H182" s="183"/>
      <c r="I182" s="183"/>
      <c r="J182" s="183"/>
      <c r="K182" s="183"/>
      <c r="L182" s="183"/>
      <c r="M182" s="183"/>
      <c r="N182" s="183"/>
      <c r="O182" s="183"/>
      <c r="P182" s="183"/>
      <c r="Q182" s="184"/>
    </row>
    <row r="183" spans="2:17" s="101" customFormat="1" ht="13.5" customHeight="1" x14ac:dyDescent="0.15">
      <c r="B183" s="284">
        <f>_Q75</f>
        <v>0</v>
      </c>
      <c r="C183" s="300" t="s">
        <v>488</v>
      </c>
      <c r="D183" s="299" t="s">
        <v>456</v>
      </c>
      <c r="E183" s="114"/>
      <c r="F183" s="101" t="str">
        <f>_T75</f>
        <v xml:space="preserve">Hurting yourself so that someone would care or pay attention. </v>
      </c>
      <c r="Q183" s="102"/>
    </row>
    <row r="184" spans="2:17" s="101" customFormat="1" x14ac:dyDescent="0.15">
      <c r="B184" s="400" t="s">
        <v>400</v>
      </c>
      <c r="C184" s="401"/>
      <c r="D184" s="401"/>
      <c r="E184" s="185"/>
      <c r="F184" s="185"/>
      <c r="G184" s="185"/>
      <c r="H184" s="185"/>
      <c r="I184" s="185"/>
      <c r="J184" s="185"/>
      <c r="K184" s="185"/>
      <c r="L184" s="541" t="s">
        <v>717</v>
      </c>
      <c r="M184" s="542">
        <f>Calculations!D136</f>
        <v>0</v>
      </c>
      <c r="N184" s="815" t="s">
        <v>716</v>
      </c>
      <c r="O184" s="816"/>
      <c r="P184" s="733" t="str">
        <f>Calculations!D137&amp;" of 12"</f>
        <v>0 of 12</v>
      </c>
      <c r="Q184" s="734"/>
    </row>
    <row r="185" spans="2:17" ht="13.5" customHeight="1" x14ac:dyDescent="0.15">
      <c r="B185" s="279">
        <f>_Q1</f>
        <v>0</v>
      </c>
      <c r="C185" s="291" t="s">
        <v>428</v>
      </c>
      <c r="D185" s="294" t="s">
        <v>684</v>
      </c>
      <c r="E185" s="91"/>
      <c r="F185" s="101" t="str">
        <f>_T1</f>
        <v>While watching TV, you find that you are thinking about something else.</v>
      </c>
      <c r="G185" s="101"/>
      <c r="H185" s="101"/>
      <c r="I185" s="101"/>
      <c r="J185" s="101"/>
      <c r="K185" s="101"/>
      <c r="L185" s="101"/>
      <c r="M185" s="101"/>
      <c r="N185" s="101"/>
      <c r="O185" s="101"/>
      <c r="P185" s="101"/>
      <c r="Q185" s="102"/>
    </row>
    <row r="186" spans="2:17" ht="13.5" customHeight="1" x14ac:dyDescent="0.15">
      <c r="B186" s="280">
        <f>_Q10</f>
        <v>0</v>
      </c>
      <c r="C186" s="292" t="s">
        <v>429</v>
      </c>
      <c r="D186" s="295" t="s">
        <v>685</v>
      </c>
      <c r="E186" s="91"/>
      <c r="F186" s="101" t="str">
        <f>_T10</f>
        <v>Forgetting errands that you had planned to do.</v>
      </c>
      <c r="G186" s="101"/>
      <c r="H186" s="101"/>
      <c r="I186" s="101"/>
      <c r="J186" s="101"/>
      <c r="K186" s="101"/>
      <c r="L186" s="101"/>
      <c r="M186" s="101"/>
      <c r="N186" s="101"/>
      <c r="O186" s="101"/>
      <c r="P186" s="101"/>
      <c r="Q186" s="102"/>
    </row>
    <row r="187" spans="2:17" ht="13.5" customHeight="1" x14ac:dyDescent="0.15">
      <c r="B187" s="280">
        <f>_Q33</f>
        <v>0</v>
      </c>
      <c r="C187" s="292" t="s">
        <v>430</v>
      </c>
      <c r="D187" s="295" t="s">
        <v>684</v>
      </c>
      <c r="E187" s="91"/>
      <c r="F187" s="101" t="str">
        <f>_T33</f>
        <v>While reading, you find that you are thinking about something else.</v>
      </c>
      <c r="G187" s="101"/>
      <c r="H187" s="101"/>
      <c r="I187" s="101"/>
      <c r="J187" s="101"/>
      <c r="K187" s="101"/>
      <c r="L187" s="101"/>
      <c r="M187" s="101"/>
      <c r="N187" s="101"/>
      <c r="O187" s="101"/>
      <c r="P187" s="101"/>
      <c r="Q187" s="102"/>
    </row>
    <row r="188" spans="2:17" ht="13.5" customHeight="1" x14ac:dyDescent="0.15">
      <c r="B188" s="280">
        <f>_Q65</f>
        <v>0</v>
      </c>
      <c r="C188" s="292" t="s">
        <v>431</v>
      </c>
      <c r="D188" s="295" t="s">
        <v>684</v>
      </c>
      <c r="E188" s="91"/>
      <c r="F188" s="101" t="str">
        <f>_T65</f>
        <v>Being impulsive.</v>
      </c>
      <c r="G188" s="101"/>
      <c r="H188" s="101"/>
      <c r="I188" s="101"/>
      <c r="J188" s="101"/>
      <c r="K188" s="101"/>
      <c r="L188" s="101"/>
      <c r="M188" s="101"/>
      <c r="N188" s="101"/>
      <c r="O188" s="101"/>
      <c r="P188" s="101"/>
      <c r="Q188" s="102"/>
    </row>
    <row r="189" spans="2:17" ht="13.5" customHeight="1" x14ac:dyDescent="0.15">
      <c r="B189" s="280">
        <f>_Q87</f>
        <v>0</v>
      </c>
      <c r="C189" s="292" t="s">
        <v>432</v>
      </c>
      <c r="D189" s="295" t="s">
        <v>685</v>
      </c>
      <c r="E189" s="91"/>
      <c r="F189" s="101" t="str">
        <f>_T87</f>
        <v>Not being able to remember something, but feeling that it is “right on the tip of your tongue.”</v>
      </c>
      <c r="G189" s="101"/>
      <c r="H189" s="101"/>
      <c r="I189" s="101"/>
      <c r="J189" s="101"/>
      <c r="K189" s="101"/>
      <c r="L189" s="101"/>
      <c r="M189" s="101"/>
      <c r="N189" s="101"/>
      <c r="O189" s="101"/>
      <c r="P189" s="101"/>
      <c r="Q189" s="102"/>
    </row>
    <row r="190" spans="2:17" ht="13.5" customHeight="1" x14ac:dyDescent="0.15">
      <c r="B190" s="280">
        <f>_Q88</f>
        <v>0</v>
      </c>
      <c r="C190" s="292" t="s">
        <v>433</v>
      </c>
      <c r="D190" s="295" t="s">
        <v>685</v>
      </c>
      <c r="E190" s="91"/>
      <c r="F190" s="101" t="str">
        <f>_T88</f>
        <v>Making decisions too quickly.</v>
      </c>
      <c r="G190" s="101"/>
      <c r="H190" s="101"/>
      <c r="I190" s="101"/>
      <c r="J190" s="101"/>
      <c r="K190" s="101"/>
      <c r="L190" s="101"/>
      <c r="M190" s="101"/>
      <c r="N190" s="101"/>
      <c r="O190" s="101"/>
      <c r="P190" s="101"/>
      <c r="Q190" s="102"/>
    </row>
    <row r="191" spans="2:17" ht="13.5" customHeight="1" x14ac:dyDescent="0.15">
      <c r="B191" s="280">
        <f>_Q100</f>
        <v>0</v>
      </c>
      <c r="C191" s="292" t="s">
        <v>434</v>
      </c>
      <c r="D191" s="295" t="s">
        <v>454</v>
      </c>
      <c r="E191" s="91"/>
      <c r="F191" s="101" t="str">
        <f>_T100</f>
        <v xml:space="preserve">Listening to someone and realizing that you did not hear part of what he/she said.  </v>
      </c>
      <c r="G191" s="101"/>
      <c r="H191" s="101"/>
      <c r="I191" s="101"/>
      <c r="J191" s="101"/>
      <c r="K191" s="101"/>
      <c r="L191" s="101"/>
      <c r="M191" s="101"/>
      <c r="N191" s="101"/>
      <c r="O191" s="101"/>
      <c r="P191" s="101"/>
      <c r="Q191" s="102"/>
    </row>
    <row r="192" spans="2:17" ht="13.5" customHeight="1" x14ac:dyDescent="0.15">
      <c r="B192" s="280">
        <f>_Q109</f>
        <v>0</v>
      </c>
      <c r="C192" s="292" t="s">
        <v>435</v>
      </c>
      <c r="D192" s="295" t="s">
        <v>685</v>
      </c>
      <c r="E192" s="91"/>
      <c r="F192" s="101" t="str">
        <f>_T109</f>
        <v>Forgetting where you put something.</v>
      </c>
      <c r="G192" s="101"/>
      <c r="H192" s="101"/>
      <c r="I192" s="101"/>
      <c r="J192" s="101"/>
      <c r="K192" s="101"/>
      <c r="L192" s="101"/>
      <c r="M192" s="101"/>
      <c r="N192" s="101"/>
      <c r="O192" s="101"/>
      <c r="P192" s="101"/>
      <c r="Q192" s="102"/>
    </row>
    <row r="193" spans="2:17" ht="13.5" customHeight="1" x14ac:dyDescent="0.15">
      <c r="B193" s="280">
        <f>_Q110</f>
        <v>0</v>
      </c>
      <c r="C193" s="292" t="s">
        <v>436</v>
      </c>
      <c r="D193" s="295" t="s">
        <v>685</v>
      </c>
      <c r="E193" s="91"/>
      <c r="F193" s="101" t="str">
        <f>_T110</f>
        <v>Having dreams that you don’t remember the next day.</v>
      </c>
      <c r="G193" s="101"/>
      <c r="H193" s="101"/>
      <c r="I193" s="101"/>
      <c r="J193" s="101"/>
      <c r="K193" s="101"/>
      <c r="L193" s="101"/>
      <c r="M193" s="101"/>
      <c r="N193" s="101"/>
      <c r="O193" s="101"/>
      <c r="P193" s="101"/>
      <c r="Q193" s="102"/>
    </row>
    <row r="194" spans="2:17" ht="13.5" customHeight="1" x14ac:dyDescent="0.15">
      <c r="B194" s="280">
        <f>_Q121</f>
        <v>0</v>
      </c>
      <c r="C194" s="292" t="s">
        <v>437</v>
      </c>
      <c r="D194" s="295" t="s">
        <v>685</v>
      </c>
      <c r="E194" s="91"/>
      <c r="F194" s="101" t="str">
        <f>_T121</f>
        <v>Daydreaming.</v>
      </c>
      <c r="G194" s="101"/>
      <c r="H194" s="101"/>
      <c r="I194" s="101"/>
      <c r="J194" s="101"/>
      <c r="K194" s="101"/>
      <c r="L194" s="101"/>
      <c r="M194" s="101"/>
      <c r="N194" s="101"/>
      <c r="O194" s="101"/>
      <c r="P194" s="101"/>
      <c r="Q194" s="102"/>
    </row>
    <row r="195" spans="2:17" ht="13.5" customHeight="1" x14ac:dyDescent="0.15">
      <c r="B195" s="280">
        <f>_Q132</f>
        <v>0</v>
      </c>
      <c r="C195" s="292" t="s">
        <v>438</v>
      </c>
      <c r="D195" s="295" t="s">
        <v>454</v>
      </c>
      <c r="E195" s="91"/>
      <c r="F195" s="101" t="str">
        <f>_T132</f>
        <v xml:space="preserve">Being unable to recall something---then, something “jogs” your memory and you remember it. </v>
      </c>
      <c r="G195" s="101"/>
      <c r="H195" s="101"/>
      <c r="I195" s="101"/>
      <c r="J195" s="101"/>
      <c r="K195" s="101"/>
      <c r="L195" s="101"/>
      <c r="M195" s="101"/>
      <c r="N195" s="101"/>
      <c r="O195" s="101"/>
      <c r="P195" s="101"/>
      <c r="Q195" s="102"/>
    </row>
    <row r="196" spans="2:17" ht="13.5" customHeight="1" x14ac:dyDescent="0.15">
      <c r="B196" s="281">
        <f>_Q142</f>
        <v>0</v>
      </c>
      <c r="C196" s="293" t="s">
        <v>439</v>
      </c>
      <c r="D196" s="296" t="s">
        <v>686</v>
      </c>
      <c r="E196" s="91"/>
      <c r="F196" s="101" t="str">
        <f>_t142</f>
        <v xml:space="preserve">Having to go back and correct mistakes that you made. </v>
      </c>
      <c r="G196" s="101"/>
      <c r="H196" s="101"/>
      <c r="I196" s="101"/>
      <c r="J196" s="101"/>
      <c r="K196" s="101"/>
      <c r="L196" s="101"/>
      <c r="M196" s="101"/>
      <c r="N196" s="101"/>
      <c r="O196" s="101"/>
      <c r="P196" s="101"/>
      <c r="Q196" s="102"/>
    </row>
    <row r="197" spans="2:17" s="101" customFormat="1" ht="13" customHeight="1" x14ac:dyDescent="0.15">
      <c r="B197" s="438" t="s">
        <v>687</v>
      </c>
      <c r="C197" s="439"/>
      <c r="D197" s="439"/>
      <c r="E197" s="440"/>
      <c r="F197" s="440"/>
      <c r="G197" s="440"/>
      <c r="H197" s="440"/>
      <c r="I197" s="440"/>
      <c r="J197" s="440"/>
      <c r="K197" s="440"/>
      <c r="L197" s="541" t="s">
        <v>717</v>
      </c>
      <c r="M197" s="540">
        <f>Calculations!D132</f>
        <v>0</v>
      </c>
      <c r="N197" s="815" t="s">
        <v>716</v>
      </c>
      <c r="O197" s="816"/>
      <c r="P197" s="733" t="str">
        <f>Calculations!D133&amp;" of 4"</f>
        <v>0 of 4</v>
      </c>
      <c r="Q197" s="734"/>
    </row>
    <row r="198" spans="2:17" ht="27" customHeight="1" x14ac:dyDescent="0.15">
      <c r="B198" s="282">
        <f>_Q11</f>
        <v>0</v>
      </c>
      <c r="C198" s="291" t="s">
        <v>472</v>
      </c>
      <c r="D198" s="294" t="s">
        <v>462</v>
      </c>
      <c r="E198" s="92"/>
      <c r="F198" s="738" t="str">
        <f>_T11</f>
        <v>Feeling that your mind or body has been taken over by a famous person (for example, Elvis Presley, Jesus Christ, Madonna, President Kennedy, etc.).</v>
      </c>
      <c r="G198" s="738"/>
      <c r="H198" s="738"/>
      <c r="I198" s="738"/>
      <c r="J198" s="738"/>
      <c r="K198" s="738"/>
      <c r="L198" s="738"/>
      <c r="M198" s="738"/>
      <c r="N198" s="738"/>
      <c r="O198" s="738"/>
      <c r="P198" s="738"/>
      <c r="Q198" s="186"/>
    </row>
    <row r="199" spans="2:17" ht="13.5" customHeight="1" x14ac:dyDescent="0.15">
      <c r="B199" s="280">
        <f>_Q26</f>
        <v>0</v>
      </c>
      <c r="C199" s="292" t="s">
        <v>473</v>
      </c>
      <c r="D199" s="295" t="s">
        <v>462</v>
      </c>
      <c r="E199" s="91"/>
      <c r="F199" s="739" t="str">
        <f>_T26</f>
        <v>Your mind being controlled by an external force (for example, microwaves, the CIA, radiation from outer space, etc.).</v>
      </c>
      <c r="G199" s="739"/>
      <c r="H199" s="739"/>
      <c r="I199" s="739"/>
      <c r="J199" s="739"/>
      <c r="K199" s="739"/>
      <c r="L199" s="739"/>
      <c r="M199" s="739"/>
      <c r="N199" s="739"/>
      <c r="O199" s="739"/>
      <c r="P199" s="739"/>
      <c r="Q199" s="104"/>
    </row>
    <row r="200" spans="2:17" ht="13.5" customHeight="1" x14ac:dyDescent="0.15">
      <c r="B200" s="280">
        <f>_Q52</f>
        <v>0</v>
      </c>
      <c r="C200" s="292" t="s">
        <v>475</v>
      </c>
      <c r="D200" s="295" t="s">
        <v>462</v>
      </c>
      <c r="E200" s="91"/>
      <c r="F200" s="101" t="str">
        <f>_T52</f>
        <v>Your thoughts being broadcast so that other people can actually hear them.</v>
      </c>
      <c r="G200" s="101"/>
      <c r="H200" s="101"/>
      <c r="I200" s="101"/>
      <c r="J200" s="101"/>
      <c r="K200" s="101"/>
      <c r="L200" s="101"/>
      <c r="M200" s="101"/>
      <c r="N200" s="101"/>
      <c r="O200" s="101"/>
      <c r="P200" s="101"/>
      <c r="Q200" s="102"/>
    </row>
    <row r="201" spans="2:17" ht="27" customHeight="1" thickBot="1" x14ac:dyDescent="0.2">
      <c r="B201" s="283">
        <f>_Q98</f>
        <v>0</v>
      </c>
      <c r="C201" s="297" t="s">
        <v>477</v>
      </c>
      <c r="D201" s="298" t="s">
        <v>462</v>
      </c>
      <c r="E201" s="77"/>
      <c r="F201" s="814" t="str">
        <f>_T98</f>
        <v>Hearing voices, which come from unusual places (for example, the air conditioner, the computer, the walls, etc.), that try to tell you what to do.</v>
      </c>
      <c r="G201" s="814"/>
      <c r="H201" s="814"/>
      <c r="I201" s="814"/>
      <c r="J201" s="814"/>
      <c r="K201" s="814"/>
      <c r="L201" s="814"/>
      <c r="M201" s="814"/>
      <c r="N201" s="814"/>
      <c r="O201" s="814"/>
      <c r="P201" s="814"/>
      <c r="Q201" s="126"/>
    </row>
    <row r="202" spans="2:17" ht="27" customHeight="1" x14ac:dyDescent="0.15">
      <c r="B202" s="91"/>
      <c r="C202" s="138"/>
      <c r="D202" s="134"/>
      <c r="E202" s="91"/>
      <c r="F202" s="415"/>
      <c r="G202" s="415"/>
      <c r="H202" s="415"/>
      <c r="I202" s="415"/>
      <c r="J202" s="415"/>
      <c r="K202" s="415"/>
      <c r="L202" s="415"/>
      <c r="M202" s="415"/>
      <c r="N202" s="415"/>
      <c r="O202" s="415"/>
      <c r="P202" s="415"/>
      <c r="Q202" s="103"/>
    </row>
    <row r="203" spans="2:17" ht="14" thickBot="1" x14ac:dyDescent="0.2">
      <c r="B203" s="91"/>
      <c r="C203" s="91"/>
      <c r="D203" s="91"/>
      <c r="E203" s="91"/>
      <c r="F203" s="101"/>
      <c r="G203" s="101"/>
      <c r="H203" s="101"/>
      <c r="I203" s="101"/>
      <c r="J203" s="101"/>
      <c r="K203" s="101"/>
      <c r="L203" s="101"/>
      <c r="M203" s="101"/>
      <c r="N203" s="101"/>
      <c r="O203" s="101"/>
      <c r="P203" s="101"/>
      <c r="Q203" s="101"/>
    </row>
    <row r="204" spans="2:17" s="182" customFormat="1" ht="16" customHeight="1" thickBot="1" x14ac:dyDescent="0.2">
      <c r="B204" s="716" t="s">
        <v>853</v>
      </c>
      <c r="C204" s="717"/>
      <c r="D204" s="717"/>
      <c r="E204" s="717"/>
      <c r="F204" s="717"/>
      <c r="G204" s="717"/>
      <c r="H204" s="717"/>
      <c r="I204" s="717"/>
      <c r="J204" s="717"/>
      <c r="K204" s="717"/>
      <c r="L204" s="717"/>
      <c r="M204" s="717"/>
      <c r="N204" s="717"/>
      <c r="O204" s="717"/>
      <c r="P204" s="717"/>
      <c r="Q204" s="718"/>
    </row>
    <row r="205" spans="2:17" s="101" customFormat="1" ht="13.5" customHeight="1" x14ac:dyDescent="0.15">
      <c r="B205" s="143" t="s">
        <v>17</v>
      </c>
      <c r="C205" s="144"/>
      <c r="D205" s="144"/>
      <c r="E205" s="145"/>
      <c r="F205" s="145"/>
      <c r="G205" s="145"/>
      <c r="H205" s="437"/>
      <c r="I205" s="858" t="s">
        <v>690</v>
      </c>
      <c r="J205" s="859"/>
      <c r="K205" s="856" t="s">
        <v>717</v>
      </c>
      <c r="L205" s="857"/>
      <c r="M205" s="538">
        <f>Calculations!D34</f>
        <v>0</v>
      </c>
      <c r="N205" s="722" t="s">
        <v>718</v>
      </c>
      <c r="O205" s="723"/>
      <c r="P205" s="860">
        <f>Calculations!D35</f>
        <v>0</v>
      </c>
      <c r="Q205" s="861"/>
    </row>
    <row r="206" spans="2:17" s="101" customFormat="1" ht="13.5" customHeight="1" x14ac:dyDescent="0.15">
      <c r="B206" s="353">
        <f>_Q2</f>
        <v>0</v>
      </c>
      <c r="C206" s="313" t="s">
        <v>672</v>
      </c>
      <c r="D206" s="310" t="s">
        <v>471</v>
      </c>
      <c r="E206" s="157"/>
      <c r="F206" s="202" t="str">
        <f>_T2</f>
        <v>Forgetting what you did earlier in the day.</v>
      </c>
      <c r="G206" s="202"/>
      <c r="H206" s="202"/>
      <c r="I206" s="202"/>
      <c r="J206" s="202"/>
      <c r="K206" s="202"/>
      <c r="L206" s="202"/>
      <c r="M206" s="202"/>
      <c r="N206" s="202"/>
      <c r="O206" s="202"/>
      <c r="P206" s="202"/>
      <c r="Q206" s="102"/>
    </row>
    <row r="207" spans="2:17" s="101" customFormat="1" ht="13.5" customHeight="1" x14ac:dyDescent="0.15">
      <c r="B207" s="354">
        <f>_Q24</f>
        <v>0</v>
      </c>
      <c r="C207" s="314" t="s">
        <v>517</v>
      </c>
      <c r="D207" s="311" t="s">
        <v>463</v>
      </c>
      <c r="E207" s="157"/>
      <c r="F207" s="202" t="str">
        <f>_T24</f>
        <v>Not remembering what you ate at your last meal---or even whether you ate.</v>
      </c>
      <c r="G207" s="202"/>
      <c r="H207" s="202"/>
      <c r="I207" s="202"/>
      <c r="J207" s="202"/>
      <c r="K207" s="202"/>
      <c r="L207" s="202"/>
      <c r="M207" s="202"/>
      <c r="N207" s="202"/>
      <c r="O207" s="202"/>
      <c r="P207" s="202"/>
      <c r="Q207" s="102"/>
    </row>
    <row r="208" spans="2:17" s="101" customFormat="1" ht="13.5" customHeight="1" x14ac:dyDescent="0.15">
      <c r="B208" s="354">
        <f>_Q67</f>
        <v>0</v>
      </c>
      <c r="C208" s="314" t="s">
        <v>518</v>
      </c>
      <c r="D208" s="311" t="s">
        <v>455</v>
      </c>
      <c r="E208" s="157"/>
      <c r="F208" s="202" t="str">
        <f>_T67</f>
        <v>Not remembering large parts of your childhood after age 5.</v>
      </c>
      <c r="G208" s="202"/>
      <c r="H208" s="202"/>
      <c r="I208" s="202"/>
      <c r="J208" s="202"/>
      <c r="K208" s="202"/>
      <c r="L208" s="202"/>
      <c r="M208" s="202"/>
      <c r="N208" s="202"/>
      <c r="O208" s="202"/>
      <c r="P208" s="202"/>
      <c r="Q208" s="102"/>
    </row>
    <row r="209" spans="2:17" s="101" customFormat="1" ht="13.5" customHeight="1" x14ac:dyDescent="0.15">
      <c r="B209" s="354">
        <f>_Q78</f>
        <v>0</v>
      </c>
      <c r="C209" s="314" t="s">
        <v>519</v>
      </c>
      <c r="D209" s="311" t="s">
        <v>453</v>
      </c>
      <c r="E209" s="157"/>
      <c r="F209" s="202" t="str">
        <f>_T78</f>
        <v>Feeling that pieces of your past are missing.</v>
      </c>
      <c r="G209" s="202"/>
      <c r="H209" s="202"/>
      <c r="I209" s="202"/>
      <c r="J209" s="202"/>
      <c r="K209" s="202"/>
      <c r="L209" s="202"/>
      <c r="M209" s="202"/>
      <c r="N209" s="202"/>
      <c r="O209" s="202"/>
      <c r="P209" s="202"/>
      <c r="Q209" s="102"/>
    </row>
    <row r="210" spans="2:17" s="101" customFormat="1" ht="13.5" customHeight="1" x14ac:dyDescent="0.15">
      <c r="B210" s="354">
        <f>_Q79</f>
        <v>0</v>
      </c>
      <c r="C210" s="314" t="s">
        <v>520</v>
      </c>
      <c r="D210" s="311" t="s">
        <v>455</v>
      </c>
      <c r="E210" s="157"/>
      <c r="F210" s="202" t="str">
        <f>_T79</f>
        <v xml:space="preserve">Immediately forgetting what other people tell you. </v>
      </c>
      <c r="G210" s="202"/>
      <c r="H210" s="202"/>
      <c r="I210" s="202"/>
      <c r="J210" s="202"/>
      <c r="K210" s="202"/>
      <c r="L210" s="202"/>
      <c r="M210" s="202"/>
      <c r="N210" s="202"/>
      <c r="O210" s="202"/>
      <c r="P210" s="202"/>
      <c r="Q210" s="102"/>
    </row>
    <row r="211" spans="2:17" s="101" customFormat="1" ht="13.5" customHeight="1" x14ac:dyDescent="0.15">
      <c r="B211" s="354">
        <f>_Q90</f>
        <v>0</v>
      </c>
      <c r="C211" s="314" t="s">
        <v>521</v>
      </c>
      <c r="D211" s="311" t="s">
        <v>455</v>
      </c>
      <c r="E211" s="157"/>
      <c r="F211" s="202" t="str">
        <f>_T90</f>
        <v>Feeling that important things happened to you earlier in your life, but you cannot remember them.</v>
      </c>
      <c r="G211" s="202"/>
      <c r="H211" s="202"/>
      <c r="I211" s="202"/>
      <c r="J211" s="202"/>
      <c r="K211" s="202"/>
      <c r="L211" s="202"/>
      <c r="M211" s="202"/>
      <c r="N211" s="202"/>
      <c r="O211" s="202"/>
      <c r="P211" s="202"/>
      <c r="Q211" s="102"/>
    </row>
    <row r="212" spans="2:17" s="101" customFormat="1" ht="13.5" customHeight="1" x14ac:dyDescent="0.15">
      <c r="B212" s="354">
        <f>_Q102</f>
        <v>0</v>
      </c>
      <c r="C212" s="314" t="s">
        <v>522</v>
      </c>
      <c r="D212" s="311" t="s">
        <v>455</v>
      </c>
      <c r="E212" s="157"/>
      <c r="F212" s="202" t="str">
        <f>_T102</f>
        <v xml:space="preserve">Feeling that there are large gaps in your memory.  </v>
      </c>
      <c r="G212" s="202"/>
      <c r="H212" s="202"/>
      <c r="I212" s="202"/>
      <c r="J212" s="202"/>
      <c r="K212" s="202"/>
      <c r="L212" s="202"/>
      <c r="M212" s="202"/>
      <c r="N212" s="202"/>
      <c r="O212" s="202"/>
      <c r="P212" s="202"/>
      <c r="Q212" s="102"/>
    </row>
    <row r="213" spans="2:17" s="101" customFormat="1" ht="13.5" customHeight="1" x14ac:dyDescent="0.15">
      <c r="B213" s="354">
        <f>_Q122</f>
        <v>0</v>
      </c>
      <c r="C213" s="314" t="s">
        <v>523</v>
      </c>
      <c r="D213" s="311" t="s">
        <v>455</v>
      </c>
      <c r="E213" s="157"/>
      <c r="F213" s="202" t="str">
        <f>_T122</f>
        <v>Being able to remember very little of your past.</v>
      </c>
      <c r="G213" s="202"/>
      <c r="H213" s="202"/>
      <c r="I213" s="202"/>
      <c r="J213" s="202"/>
      <c r="K213" s="202"/>
      <c r="L213" s="202"/>
      <c r="M213" s="202"/>
      <c r="N213" s="202"/>
      <c r="O213" s="202"/>
      <c r="P213" s="202"/>
      <c r="Q213" s="102"/>
    </row>
    <row r="214" spans="2:17" ht="26" customHeight="1" x14ac:dyDescent="0.15">
      <c r="B214" s="355">
        <f>_Q134</f>
        <v>0</v>
      </c>
      <c r="C214" s="342" t="s">
        <v>524</v>
      </c>
      <c r="D214" s="339" t="s">
        <v>463</v>
      </c>
      <c r="E214" s="207"/>
      <c r="F214" s="738" t="str">
        <f>_T134</f>
        <v>Not being able to remember important events in your life (for example, your wedding day, the birth of your child, your grandmother’s funeral, taking your final exams, etc.).</v>
      </c>
      <c r="G214" s="738"/>
      <c r="H214" s="738"/>
      <c r="I214" s="738"/>
      <c r="J214" s="738"/>
      <c r="K214" s="738"/>
      <c r="L214" s="738"/>
      <c r="M214" s="738"/>
      <c r="N214" s="738"/>
      <c r="O214" s="738"/>
      <c r="P214" s="738"/>
      <c r="Q214" s="104"/>
    </row>
    <row r="215" spans="2:17" s="101" customFormat="1" ht="13.5" customHeight="1" x14ac:dyDescent="0.15">
      <c r="B215" s="354">
        <f>_Q143</f>
        <v>0</v>
      </c>
      <c r="C215" s="314" t="s">
        <v>525</v>
      </c>
      <c r="D215" s="311" t="s">
        <v>463</v>
      </c>
      <c r="E215" s="157"/>
      <c r="F215" s="202" t="str">
        <f>_T143</f>
        <v>Poor memory causing serious difficulty for you.</v>
      </c>
      <c r="G215" s="202"/>
      <c r="H215" s="202"/>
      <c r="I215" s="202"/>
      <c r="J215" s="202"/>
      <c r="K215" s="202"/>
      <c r="L215" s="202"/>
      <c r="M215" s="202"/>
      <c r="N215" s="202"/>
      <c r="O215" s="202"/>
      <c r="P215" s="202"/>
      <c r="Q215" s="102"/>
    </row>
    <row r="216" spans="2:17" s="101" customFormat="1" ht="13.5" customHeight="1" x14ac:dyDescent="0.15">
      <c r="B216" s="354">
        <f>_Q154</f>
        <v>0</v>
      </c>
      <c r="C216" s="314" t="s">
        <v>526</v>
      </c>
      <c r="D216" s="311" t="s">
        <v>471</v>
      </c>
      <c r="E216" s="157"/>
      <c r="F216" s="202" t="str">
        <f>_T154</f>
        <v>Being bothered or upset by how much you forget.</v>
      </c>
      <c r="G216" s="202"/>
      <c r="H216" s="202"/>
      <c r="I216" s="202"/>
      <c r="J216" s="202"/>
      <c r="K216" s="202"/>
      <c r="L216" s="202"/>
      <c r="M216" s="202"/>
      <c r="N216" s="202"/>
      <c r="O216" s="202"/>
      <c r="P216" s="202"/>
      <c r="Q216" s="102"/>
    </row>
    <row r="217" spans="2:17" s="101" customFormat="1" ht="13.5" customHeight="1" x14ac:dyDescent="0.15">
      <c r="B217" s="366">
        <f>_Q211</f>
        <v>0</v>
      </c>
      <c r="C217" s="315" t="s">
        <v>527</v>
      </c>
      <c r="D217" s="312" t="s">
        <v>463</v>
      </c>
      <c r="E217" s="157"/>
      <c r="F217" s="202" t="str">
        <f>_T211</f>
        <v>Not remembering where you were the day before.</v>
      </c>
      <c r="G217" s="202"/>
      <c r="H217" s="202"/>
      <c r="I217" s="202"/>
      <c r="J217" s="202"/>
      <c r="K217" s="202"/>
      <c r="L217" s="202"/>
      <c r="M217" s="202"/>
      <c r="N217" s="202"/>
      <c r="O217" s="202"/>
      <c r="P217" s="202"/>
      <c r="Q217" s="102"/>
    </row>
    <row r="218" spans="2:17" s="101" customFormat="1" ht="13.5" customHeight="1" x14ac:dyDescent="0.15">
      <c r="B218" s="146" t="s">
        <v>18</v>
      </c>
      <c r="C218" s="147"/>
      <c r="D218" s="147"/>
      <c r="E218" s="148"/>
      <c r="F218" s="148"/>
      <c r="G218" s="148"/>
      <c r="H218" s="156"/>
      <c r="I218" s="731" t="s">
        <v>688</v>
      </c>
      <c r="J218" s="732"/>
      <c r="K218" s="803" t="s">
        <v>717</v>
      </c>
      <c r="L218" s="804"/>
      <c r="M218" s="540">
        <f>Calculations!D38</f>
        <v>0</v>
      </c>
      <c r="N218" s="708" t="s">
        <v>718</v>
      </c>
      <c r="O218" s="709"/>
      <c r="P218" s="729">
        <f>Calculations!D39</f>
        <v>0</v>
      </c>
      <c r="Q218" s="730"/>
    </row>
    <row r="219" spans="2:17" s="101" customFormat="1" ht="13.5" customHeight="1" x14ac:dyDescent="0.15">
      <c r="B219" s="353">
        <f>_Q3</f>
        <v>0</v>
      </c>
      <c r="C219" s="313" t="s">
        <v>528</v>
      </c>
      <c r="D219" s="310" t="s">
        <v>455</v>
      </c>
      <c r="E219" s="157"/>
      <c r="F219" s="202" t="str">
        <f>_T3</f>
        <v>Feeling as if your body (or certain parts of it) are unreal.</v>
      </c>
      <c r="G219" s="202"/>
      <c r="H219" s="202"/>
      <c r="I219" s="202"/>
      <c r="J219" s="202"/>
      <c r="K219" s="202"/>
      <c r="L219" s="202"/>
      <c r="M219" s="202"/>
      <c r="N219" s="202"/>
      <c r="O219" s="202"/>
      <c r="P219" s="202"/>
      <c r="Q219" s="203"/>
    </row>
    <row r="220" spans="2:17" s="101" customFormat="1" ht="13.5" customHeight="1" x14ac:dyDescent="0.15">
      <c r="B220" s="354">
        <f>_Q25</f>
        <v>0</v>
      </c>
      <c r="C220" s="314" t="s">
        <v>529</v>
      </c>
      <c r="D220" s="311" t="s">
        <v>471</v>
      </c>
      <c r="E220" s="157"/>
      <c r="F220" s="202" t="str">
        <f>_T25</f>
        <v xml:space="preserve">Feeling like you’re only partially ‘there’ (or not really ‘there’ at all).   </v>
      </c>
      <c r="G220" s="202"/>
      <c r="H220" s="202"/>
      <c r="I220" s="202"/>
      <c r="J220" s="202"/>
      <c r="K220" s="202"/>
      <c r="L220" s="202"/>
      <c r="M220" s="202"/>
      <c r="N220" s="202"/>
      <c r="O220" s="202"/>
      <c r="P220" s="202"/>
      <c r="Q220" s="203"/>
    </row>
    <row r="221" spans="2:17" s="101" customFormat="1" ht="13.5" customHeight="1" x14ac:dyDescent="0.15">
      <c r="B221" s="354">
        <f>_Q36</f>
        <v>0</v>
      </c>
      <c r="C221" s="314" t="s">
        <v>530</v>
      </c>
      <c r="D221" s="311" t="s">
        <v>463</v>
      </c>
      <c r="E221" s="157"/>
      <c r="F221" s="202" t="str">
        <f>_T36</f>
        <v>Feeling mechanical or not really human.</v>
      </c>
      <c r="G221" s="202"/>
      <c r="H221" s="202"/>
      <c r="I221" s="202"/>
      <c r="J221" s="202"/>
      <c r="K221" s="202"/>
      <c r="L221" s="202"/>
      <c r="M221" s="202"/>
      <c r="N221" s="202"/>
      <c r="O221" s="202"/>
      <c r="P221" s="202"/>
      <c r="Q221" s="203"/>
    </row>
    <row r="222" spans="2:17" s="101" customFormat="1" ht="13.5" customHeight="1" x14ac:dyDescent="0.15">
      <c r="B222" s="354">
        <f>_Q44</f>
        <v>0</v>
      </c>
      <c r="C222" s="314" t="s">
        <v>531</v>
      </c>
      <c r="D222" s="311" t="s">
        <v>471</v>
      </c>
      <c r="E222" s="157"/>
      <c r="F222" s="202" t="str">
        <f>_T44</f>
        <v>Feeling very detached from your behavior as you “go through the motions” of daily life.</v>
      </c>
      <c r="G222" s="202"/>
      <c r="H222" s="202"/>
      <c r="I222" s="202"/>
      <c r="J222" s="202"/>
      <c r="K222" s="202"/>
      <c r="L222" s="202"/>
      <c r="M222" s="202"/>
      <c r="N222" s="202"/>
      <c r="O222" s="202"/>
      <c r="P222" s="202"/>
      <c r="Q222" s="203"/>
    </row>
    <row r="223" spans="2:17" s="101" customFormat="1" ht="13.5" customHeight="1" x14ac:dyDescent="0.15">
      <c r="B223" s="354">
        <f>_Q91</f>
        <v>0</v>
      </c>
      <c r="C223" s="314" t="s">
        <v>532</v>
      </c>
      <c r="D223" s="311" t="s">
        <v>462</v>
      </c>
      <c r="E223" s="157"/>
      <c r="F223" s="202" t="str">
        <f>_T91</f>
        <v>Standing outside of your body, watching yourself as if you were another person.</v>
      </c>
      <c r="G223" s="202"/>
      <c r="H223" s="202"/>
      <c r="I223" s="202"/>
      <c r="J223" s="202"/>
      <c r="K223" s="202"/>
      <c r="L223" s="202"/>
      <c r="M223" s="202"/>
      <c r="N223" s="202"/>
      <c r="O223" s="202"/>
      <c r="P223" s="202"/>
      <c r="Q223" s="203"/>
    </row>
    <row r="224" spans="2:17" ht="13" customHeight="1" x14ac:dyDescent="0.15">
      <c r="B224" s="355">
        <f>_Q103</f>
        <v>0</v>
      </c>
      <c r="C224" s="342" t="s">
        <v>533</v>
      </c>
      <c r="D224" s="339" t="s">
        <v>463</v>
      </c>
      <c r="E224" s="140"/>
      <c r="F224" s="863" t="str">
        <f>_T103</f>
        <v>Feeling as if you are two different people---one who is going through the motions of daily life and the other who is just watching.</v>
      </c>
      <c r="G224" s="863"/>
      <c r="H224" s="863"/>
      <c r="I224" s="863"/>
      <c r="J224" s="863"/>
      <c r="K224" s="863"/>
      <c r="L224" s="863"/>
      <c r="M224" s="863"/>
      <c r="N224" s="863"/>
      <c r="O224" s="863"/>
      <c r="P224" s="863"/>
      <c r="Q224" s="206"/>
    </row>
    <row r="225" spans="2:17" s="101" customFormat="1" ht="13.5" customHeight="1" x14ac:dyDescent="0.15">
      <c r="B225" s="354">
        <f>_Q113</f>
        <v>0</v>
      </c>
      <c r="C225" s="314" t="s">
        <v>534</v>
      </c>
      <c r="D225" s="311" t="s">
        <v>471</v>
      </c>
      <c r="E225" s="157"/>
      <c r="F225" s="202" t="str">
        <f>_T113</f>
        <v xml:space="preserve">Your mind blocking or going totally empty. </v>
      </c>
      <c r="G225" s="202"/>
      <c r="H225" s="202"/>
      <c r="I225" s="202"/>
      <c r="J225" s="202"/>
      <c r="K225" s="202"/>
      <c r="L225" s="202"/>
      <c r="M225" s="202"/>
      <c r="N225" s="202"/>
      <c r="O225" s="202"/>
      <c r="P225" s="202"/>
      <c r="Q225" s="203"/>
    </row>
    <row r="226" spans="2:17" s="101" customFormat="1" ht="13.5" customHeight="1" x14ac:dyDescent="0.15">
      <c r="B226" s="354">
        <f>_Q123</f>
        <v>0</v>
      </c>
      <c r="C226" s="314" t="s">
        <v>535</v>
      </c>
      <c r="D226" s="311" t="s">
        <v>462</v>
      </c>
      <c r="E226" s="157"/>
      <c r="F226" s="202" t="str">
        <f>_T123</f>
        <v xml:space="preserve">Not recognizing yourself in the mirror. </v>
      </c>
      <c r="G226" s="202"/>
      <c r="H226" s="202"/>
      <c r="I226" s="202"/>
      <c r="J226" s="202"/>
      <c r="K226" s="202"/>
      <c r="L226" s="202"/>
      <c r="M226" s="202"/>
      <c r="N226" s="202"/>
      <c r="O226" s="202"/>
      <c r="P226" s="202"/>
      <c r="Q226" s="203"/>
    </row>
    <row r="227" spans="2:17" s="101" customFormat="1" ht="13.5" customHeight="1" x14ac:dyDescent="0.15">
      <c r="B227" s="354">
        <f>_Q133</f>
        <v>0</v>
      </c>
      <c r="C227" s="314" t="s">
        <v>536</v>
      </c>
      <c r="D227" s="311" t="s">
        <v>455</v>
      </c>
      <c r="E227" s="157"/>
      <c r="F227" s="202" t="str">
        <f>_T133</f>
        <v xml:space="preserve">Feeling like you are ‘inside’ yourself, watching what you are doing. </v>
      </c>
      <c r="G227" s="202"/>
      <c r="H227" s="202"/>
      <c r="I227" s="202"/>
      <c r="J227" s="202"/>
      <c r="K227" s="202"/>
      <c r="L227" s="202"/>
      <c r="M227" s="202"/>
      <c r="N227" s="202"/>
      <c r="O227" s="202"/>
      <c r="P227" s="202"/>
      <c r="Q227" s="203"/>
    </row>
    <row r="228" spans="2:17" s="101" customFormat="1" ht="13.5" customHeight="1" x14ac:dyDescent="0.15">
      <c r="B228" s="354">
        <f>_Q135</f>
        <v>0</v>
      </c>
      <c r="C228" s="314" t="s">
        <v>537</v>
      </c>
      <c r="D228" s="311" t="s">
        <v>455</v>
      </c>
      <c r="E228" s="157"/>
      <c r="F228" s="202" t="str">
        <f>_T135</f>
        <v>Feeling distant or removed from your thoughts and actions.</v>
      </c>
      <c r="G228" s="202"/>
      <c r="H228" s="202"/>
      <c r="I228" s="202"/>
      <c r="J228" s="202"/>
      <c r="K228" s="202"/>
      <c r="L228" s="202"/>
      <c r="M228" s="202"/>
      <c r="N228" s="202"/>
      <c r="O228" s="202"/>
      <c r="P228" s="202"/>
      <c r="Q228" s="203"/>
    </row>
    <row r="229" spans="2:17" s="101" customFormat="1" ht="13.5" customHeight="1" x14ac:dyDescent="0.15">
      <c r="B229" s="354">
        <f>_Q164</f>
        <v>0</v>
      </c>
      <c r="C229" s="314" t="s">
        <v>538</v>
      </c>
      <c r="D229" s="311" t="s">
        <v>463</v>
      </c>
      <c r="E229" s="157"/>
      <c r="F229" s="202" t="str">
        <f>_T164</f>
        <v>Feeling that part of your body is disconnected (detached) from the rest of your body.</v>
      </c>
      <c r="G229" s="202"/>
      <c r="H229" s="202"/>
      <c r="I229" s="202"/>
      <c r="J229" s="202"/>
      <c r="K229" s="202"/>
      <c r="L229" s="202"/>
      <c r="M229" s="202"/>
      <c r="N229" s="202"/>
      <c r="O229" s="202"/>
      <c r="P229" s="202"/>
      <c r="Q229" s="203"/>
    </row>
    <row r="230" spans="2:17" s="101" customFormat="1" ht="13.5" customHeight="1" x14ac:dyDescent="0.15">
      <c r="B230" s="366">
        <f>_Q172</f>
        <v>0</v>
      </c>
      <c r="C230" s="315" t="s">
        <v>539</v>
      </c>
      <c r="D230" s="312" t="s">
        <v>462</v>
      </c>
      <c r="E230" s="157"/>
      <c r="F230" s="202" t="str">
        <f>_T172</f>
        <v xml:space="preserve">Feeling as if part of your body (or your whole body) has disappeared.  </v>
      </c>
      <c r="G230" s="202"/>
      <c r="H230" s="202"/>
      <c r="I230" s="202"/>
      <c r="J230" s="202"/>
      <c r="K230" s="202"/>
      <c r="L230" s="202"/>
      <c r="M230" s="202"/>
      <c r="N230" s="202"/>
      <c r="O230" s="202"/>
      <c r="P230" s="202"/>
      <c r="Q230" s="203"/>
    </row>
    <row r="231" spans="2:17" s="101" customFormat="1" ht="13.5" customHeight="1" x14ac:dyDescent="0.15">
      <c r="B231" s="149" t="s">
        <v>19</v>
      </c>
      <c r="C231" s="150"/>
      <c r="D231" s="150"/>
      <c r="E231" s="148"/>
      <c r="F231" s="148"/>
      <c r="G231" s="148"/>
      <c r="H231" s="156"/>
      <c r="I231" s="731" t="s">
        <v>688</v>
      </c>
      <c r="J231" s="732"/>
      <c r="K231" s="803" t="s">
        <v>717</v>
      </c>
      <c r="L231" s="804"/>
      <c r="M231" s="540">
        <f>Calculations!D42</f>
        <v>0</v>
      </c>
      <c r="N231" s="708" t="s">
        <v>718</v>
      </c>
      <c r="O231" s="709"/>
      <c r="P231" s="729">
        <f>Calculations!D43</f>
        <v>0</v>
      </c>
      <c r="Q231" s="730"/>
    </row>
    <row r="232" spans="2:17" s="101" customFormat="1" ht="13.5" customHeight="1" x14ac:dyDescent="0.15">
      <c r="B232" s="304">
        <f>_Q5</f>
        <v>0</v>
      </c>
      <c r="C232" s="313" t="s">
        <v>540</v>
      </c>
      <c r="D232" s="310" t="s">
        <v>455</v>
      </c>
      <c r="E232" s="100"/>
      <c r="F232" s="101" t="str">
        <f>_T5</f>
        <v>Things around you suddenly seeming strange.</v>
      </c>
      <c r="Q232" s="102"/>
    </row>
    <row r="233" spans="2:17" s="101" customFormat="1" ht="13.5" customHeight="1" x14ac:dyDescent="0.15">
      <c r="B233" s="286">
        <f>_Q13</f>
        <v>0</v>
      </c>
      <c r="C233" s="314" t="s">
        <v>541</v>
      </c>
      <c r="D233" s="311" t="s">
        <v>463</v>
      </c>
      <c r="E233" s="100"/>
      <c r="F233" s="101" t="str">
        <f>_T13</f>
        <v xml:space="preserve">Feeling as if close friends, relatives, or your own home seems strange or foreign.  </v>
      </c>
      <c r="Q233" s="102"/>
    </row>
    <row r="234" spans="2:17" s="101" customFormat="1" ht="13.5" customHeight="1" x14ac:dyDescent="0.15">
      <c r="B234" s="286">
        <f>_Q37</f>
        <v>0</v>
      </c>
      <c r="C234" s="314" t="s">
        <v>542</v>
      </c>
      <c r="D234" s="311" t="s">
        <v>455</v>
      </c>
      <c r="E234" s="100"/>
      <c r="F234" s="101" t="str">
        <f>_T37</f>
        <v xml:space="preserve">Things around you feeling unreal. </v>
      </c>
      <c r="Q234" s="102"/>
    </row>
    <row r="235" spans="2:17" s="101" customFormat="1" ht="13.5" customHeight="1" x14ac:dyDescent="0.15">
      <c r="B235" s="286">
        <f>_Q48</f>
        <v>0</v>
      </c>
      <c r="C235" s="314" t="s">
        <v>543</v>
      </c>
      <c r="D235" s="311" t="s">
        <v>463</v>
      </c>
      <c r="E235" s="100"/>
      <c r="F235" s="101" t="str">
        <f>_T48</f>
        <v xml:space="preserve">Being in a familiar place, but finding it strange and unfamiliar. </v>
      </c>
      <c r="Q235" s="102"/>
    </row>
    <row r="236" spans="2:17" s="101" customFormat="1" ht="13.5" customHeight="1" x14ac:dyDescent="0.15">
      <c r="B236" s="286">
        <f>_Q58</f>
        <v>0</v>
      </c>
      <c r="C236" s="314" t="s">
        <v>544</v>
      </c>
      <c r="D236" s="311" t="s">
        <v>462</v>
      </c>
      <c r="E236" s="100"/>
      <c r="F236" s="101" t="str">
        <f>_T58</f>
        <v xml:space="preserve">Feeling that other people, objects, or the world around you are not real. </v>
      </c>
      <c r="Q236" s="102"/>
    </row>
    <row r="237" spans="2:17" s="101" customFormat="1" ht="13.5" customHeight="1" x14ac:dyDescent="0.15">
      <c r="B237" s="286">
        <f>_Q69</f>
        <v>0</v>
      </c>
      <c r="C237" s="314" t="s">
        <v>545</v>
      </c>
      <c r="D237" s="311" t="s">
        <v>471</v>
      </c>
      <c r="E237" s="100"/>
      <c r="F237" s="101" t="str">
        <f>_T69</f>
        <v xml:space="preserve">Feeling disconnected from everything around you.  </v>
      </c>
      <c r="Q237" s="102"/>
    </row>
    <row r="238" spans="2:17" s="101" customFormat="1" ht="13.5" customHeight="1" x14ac:dyDescent="0.15">
      <c r="B238" s="286">
        <f>_Q80</f>
        <v>0</v>
      </c>
      <c r="C238" s="314" t="s">
        <v>546</v>
      </c>
      <c r="D238" s="311" t="s">
        <v>462</v>
      </c>
      <c r="E238" s="100"/>
      <c r="F238" s="101" t="str">
        <f>_T80</f>
        <v xml:space="preserve">Not being sure about what is real (and what is unreal) in your surroundings. </v>
      </c>
      <c r="Q238" s="102"/>
    </row>
    <row r="239" spans="2:17" s="101" customFormat="1" ht="13.5" customHeight="1" x14ac:dyDescent="0.15">
      <c r="B239" s="286">
        <f>_Q92</f>
        <v>0</v>
      </c>
      <c r="C239" s="314" t="s">
        <v>547</v>
      </c>
      <c r="D239" s="311" t="s">
        <v>463</v>
      </c>
      <c r="E239" s="100"/>
      <c r="F239" s="101" t="str">
        <f>_T92</f>
        <v>Feeling as if you were looking at the world through a fog so that people and objects felt far away or unclear.</v>
      </c>
      <c r="Q239" s="102"/>
    </row>
    <row r="240" spans="2:17" s="101" customFormat="1" ht="13.5" customHeight="1" x14ac:dyDescent="0.15">
      <c r="B240" s="286">
        <f>_Q104</f>
        <v>0</v>
      </c>
      <c r="C240" s="314" t="s">
        <v>548</v>
      </c>
      <c r="D240" s="311" t="s">
        <v>462</v>
      </c>
      <c r="E240" s="100"/>
      <c r="F240" s="101" t="str">
        <f>_T104</f>
        <v xml:space="preserve">Feeling that your surroundings (or other people) were fading away or disappearing.  </v>
      </c>
      <c r="Q240" s="102"/>
    </row>
    <row r="241" spans="2:17" s="101" customFormat="1" ht="13.5" customHeight="1" x14ac:dyDescent="0.15">
      <c r="B241" s="286">
        <f>_Q114</f>
        <v>0</v>
      </c>
      <c r="C241" s="314" t="s">
        <v>549</v>
      </c>
      <c r="D241" s="311" t="s">
        <v>463</v>
      </c>
      <c r="E241" s="100"/>
      <c r="F241" s="101" t="str">
        <f>_T114</f>
        <v xml:space="preserve">Feeling like time slows down or stops.  </v>
      </c>
      <c r="Q241" s="102"/>
    </row>
    <row r="242" spans="2:17" s="101" customFormat="1" ht="13.5" customHeight="1" x14ac:dyDescent="0.15">
      <c r="B242" s="286">
        <f>_Q144</f>
        <v>0</v>
      </c>
      <c r="C242" s="314" t="s">
        <v>550</v>
      </c>
      <c r="D242" s="311" t="s">
        <v>463</v>
      </c>
      <c r="E242" s="100"/>
      <c r="F242" s="101" t="str">
        <f>_T144</f>
        <v>Feeling that your vision was suddenly sharper or that colors suddenly seemed more vivid or more intense.</v>
      </c>
      <c r="Q242" s="102"/>
    </row>
    <row r="243" spans="2:17" s="101" customFormat="1" ht="13.5" customHeight="1" x14ac:dyDescent="0.15">
      <c r="B243" s="316">
        <f>_Q136</f>
        <v>0</v>
      </c>
      <c r="C243" s="315" t="s">
        <v>551</v>
      </c>
      <c r="D243" s="312" t="s">
        <v>462</v>
      </c>
      <c r="E243" s="100"/>
      <c r="F243" s="101" t="str">
        <f>_T136</f>
        <v xml:space="preserve">Things around you seeming to change size or shape. </v>
      </c>
      <c r="Q243" s="102"/>
    </row>
    <row r="244" spans="2:17" s="101" customFormat="1" ht="13.5" customHeight="1" x14ac:dyDescent="0.15">
      <c r="B244" s="149" t="s">
        <v>20</v>
      </c>
      <c r="C244" s="150"/>
      <c r="D244" s="150"/>
      <c r="E244" s="148"/>
      <c r="F244" s="148"/>
      <c r="G244" s="148"/>
      <c r="H244" s="156"/>
      <c r="I244" s="724" t="s">
        <v>689</v>
      </c>
      <c r="J244" s="725"/>
      <c r="K244" s="801" t="s">
        <v>717</v>
      </c>
      <c r="L244" s="802"/>
      <c r="M244" s="487">
        <f>Calculations!D46</f>
        <v>0</v>
      </c>
      <c r="N244" s="710" t="s">
        <v>718</v>
      </c>
      <c r="O244" s="711"/>
      <c r="P244" s="817">
        <f>Calculations!D47</f>
        <v>0</v>
      </c>
      <c r="Q244" s="818"/>
    </row>
    <row r="245" spans="2:17" ht="27" customHeight="1" x14ac:dyDescent="0.15">
      <c r="B245" s="279">
        <f>_Q14</f>
        <v>0</v>
      </c>
      <c r="C245" s="341" t="s">
        <v>552</v>
      </c>
      <c r="D245" s="338" t="s">
        <v>463</v>
      </c>
      <c r="E245" s="140"/>
      <c r="F245" s="787" t="str">
        <f>_T14</f>
        <v>Reliving a traumatic event so vividly that you totally lose contact with where you actually are (that is, you think that you are ‘back there and then’).</v>
      </c>
      <c r="G245" s="787"/>
      <c r="H245" s="787"/>
      <c r="I245" s="787"/>
      <c r="J245" s="787"/>
      <c r="K245" s="787"/>
      <c r="L245" s="787"/>
      <c r="M245" s="787"/>
      <c r="N245" s="787"/>
      <c r="O245" s="787"/>
      <c r="P245" s="787"/>
      <c r="Q245" s="158"/>
    </row>
    <row r="246" spans="2:17" s="101" customFormat="1" ht="13.5" customHeight="1" x14ac:dyDescent="0.15">
      <c r="B246" s="286">
        <f>_Q66</f>
        <v>0</v>
      </c>
      <c r="C246" s="314" t="s">
        <v>553</v>
      </c>
      <c r="D246" s="311" t="s">
        <v>462</v>
      </c>
      <c r="E246" s="100"/>
      <c r="F246" s="101" t="str">
        <f>_T66</f>
        <v>Being so bothered by flashbacks that it was hard to get out of bed and face the day.</v>
      </c>
      <c r="Q246" s="102"/>
    </row>
    <row r="247" spans="2:17" s="101" customFormat="1" ht="13.5" customHeight="1" x14ac:dyDescent="0.15">
      <c r="B247" s="286">
        <f>_Q81</f>
        <v>0</v>
      </c>
      <c r="C247" s="314" t="s">
        <v>554</v>
      </c>
      <c r="D247" s="311" t="s">
        <v>462</v>
      </c>
      <c r="E247" s="141"/>
      <c r="F247" s="739" t="str">
        <f>_T81</f>
        <v>Being so bothered by flashbacks that it is hard to function at work (or it is hard to carry out your daily responsibilities).</v>
      </c>
      <c r="G247" s="739"/>
      <c r="H247" s="739"/>
      <c r="I247" s="739"/>
      <c r="J247" s="739"/>
      <c r="K247" s="739"/>
      <c r="L247" s="739"/>
      <c r="M247" s="739"/>
      <c r="N247" s="739"/>
      <c r="O247" s="739"/>
      <c r="P247" s="739"/>
      <c r="Q247" s="104"/>
    </row>
    <row r="248" spans="2:17" s="101" customFormat="1" ht="13.5" customHeight="1" x14ac:dyDescent="0.15">
      <c r="B248" s="286">
        <f>_Q105</f>
        <v>0</v>
      </c>
      <c r="C248" s="314" t="s">
        <v>555</v>
      </c>
      <c r="D248" s="311" t="s">
        <v>462</v>
      </c>
      <c r="E248" s="100"/>
      <c r="F248" s="101" t="str">
        <f>_T105</f>
        <v>Having traumatic flashbacks that make you want to inflict pain on yourself.</v>
      </c>
      <c r="Q248" s="102"/>
    </row>
    <row r="249" spans="2:17" s="101" customFormat="1" ht="13.5" customHeight="1" x14ac:dyDescent="0.15">
      <c r="B249" s="286">
        <f>_Q115</f>
        <v>0</v>
      </c>
      <c r="C249" s="314" t="s">
        <v>556</v>
      </c>
      <c r="D249" s="311" t="s">
        <v>463</v>
      </c>
      <c r="E249" s="100"/>
      <c r="F249" s="101" t="str">
        <f>_T115</f>
        <v xml:space="preserve">Bad memories coming into your mind and you can’t get rid of them.  </v>
      </c>
      <c r="Q249" s="102"/>
    </row>
    <row r="250" spans="2:17" s="101" customFormat="1" ht="13.5" customHeight="1" x14ac:dyDescent="0.15">
      <c r="B250" s="286">
        <f>_Q125</f>
        <v>0</v>
      </c>
      <c r="C250" s="314" t="s">
        <v>557</v>
      </c>
      <c r="D250" s="311" t="s">
        <v>462</v>
      </c>
      <c r="E250" s="100"/>
      <c r="F250" s="101" t="str">
        <f>_T125</f>
        <v>Re-experiencing body sensations from a past traumatic event.</v>
      </c>
      <c r="Q250" s="102"/>
    </row>
    <row r="251" spans="2:17" s="101" customFormat="1" ht="13.5" customHeight="1" x14ac:dyDescent="0.15">
      <c r="B251" s="286">
        <f>_Q137</f>
        <v>0</v>
      </c>
      <c r="C251" s="314" t="s">
        <v>558</v>
      </c>
      <c r="D251" s="311" t="s">
        <v>462</v>
      </c>
      <c r="E251" s="100"/>
      <c r="F251" s="101" t="str">
        <f>_T137</f>
        <v>Having traumatic flashbacks that make you want to die.</v>
      </c>
      <c r="Q251" s="102"/>
    </row>
    <row r="252" spans="2:17" s="101" customFormat="1" ht="13.5" customHeight="1" x14ac:dyDescent="0.15">
      <c r="B252" s="286">
        <f>_Q145</f>
        <v>0</v>
      </c>
      <c r="C252" s="314" t="s">
        <v>559</v>
      </c>
      <c r="D252" s="311" t="s">
        <v>463</v>
      </c>
      <c r="E252" s="100"/>
      <c r="F252" s="101" t="str">
        <f>_T145</f>
        <v>Reliving a past trauma so vividly that you see it, hear it, feel it, smell it, etc.</v>
      </c>
      <c r="Q252" s="102"/>
    </row>
    <row r="253" spans="2:17" ht="39" customHeight="1" x14ac:dyDescent="0.15">
      <c r="B253" s="280">
        <f>_Q156</f>
        <v>0</v>
      </c>
      <c r="C253" s="342" t="s">
        <v>563</v>
      </c>
      <c r="D253" s="339" t="s">
        <v>462</v>
      </c>
      <c r="E253" s="140"/>
      <c r="F253" s="712" t="str">
        <f>_T156</f>
        <v>Reliving a traumatic event so totally that you think that a present-day person is actually a person from the trauma (for example, being home with your partner, suddenly reliving being raped by your alcoholic uncle, and actually thinking that your partner is your uncle---that is, you see your uncle in front of you instead of seeing your partner).</v>
      </c>
      <c r="G253" s="712"/>
      <c r="H253" s="712"/>
      <c r="I253" s="712"/>
      <c r="J253" s="712"/>
      <c r="K253" s="712"/>
      <c r="L253" s="712"/>
      <c r="M253" s="712"/>
      <c r="N253" s="712"/>
      <c r="O253" s="712"/>
      <c r="P253" s="712"/>
      <c r="Q253" s="104"/>
    </row>
    <row r="254" spans="2:17" s="101" customFormat="1" ht="13.5" customHeight="1" x14ac:dyDescent="0.15">
      <c r="B254" s="286">
        <f>_Q168</f>
        <v>0</v>
      </c>
      <c r="C254" s="314" t="s">
        <v>560</v>
      </c>
      <c r="D254" s="311" t="s">
        <v>463</v>
      </c>
      <c r="E254" s="100"/>
      <c r="F254" s="101" t="str">
        <f>_T168</f>
        <v>Having snapshots of past trauma that suddenly flash in your mind.</v>
      </c>
      <c r="Q254" s="102"/>
    </row>
    <row r="255" spans="2:17" s="101" customFormat="1" ht="13.5" customHeight="1" x14ac:dyDescent="0.15">
      <c r="B255" s="286">
        <f>_Q176</f>
        <v>0</v>
      </c>
      <c r="C255" s="314" t="s">
        <v>561</v>
      </c>
      <c r="D255" s="311" t="s">
        <v>463</v>
      </c>
      <c r="E255" s="100"/>
      <c r="F255" s="101" t="str">
        <f>_T176</f>
        <v>Having nightmares about a trauma from your past.</v>
      </c>
      <c r="Q255" s="102"/>
    </row>
    <row r="256" spans="2:17" s="101" customFormat="1" ht="13.5" customHeight="1" x14ac:dyDescent="0.15">
      <c r="B256" s="316">
        <f>_Q192</f>
        <v>0</v>
      </c>
      <c r="C256" s="315" t="s">
        <v>562</v>
      </c>
      <c r="D256" s="312" t="s">
        <v>462</v>
      </c>
      <c r="E256" s="100"/>
      <c r="F256" s="101" t="str">
        <f>_T192</f>
        <v>Being bothered by flashbacks for several days in a row.</v>
      </c>
      <c r="Q256" s="102"/>
    </row>
    <row r="257" spans="2:17" s="101" customFormat="1" ht="13.5" customHeight="1" x14ac:dyDescent="0.15">
      <c r="B257" s="149" t="s">
        <v>48</v>
      </c>
      <c r="C257" s="150"/>
      <c r="D257" s="150"/>
      <c r="E257" s="148"/>
      <c r="F257" s="148"/>
      <c r="G257" s="148"/>
      <c r="H257" s="155"/>
      <c r="I257" s="724" t="s">
        <v>688</v>
      </c>
      <c r="J257" s="1052"/>
      <c r="K257" s="1040" t="s">
        <v>717</v>
      </c>
      <c r="L257" s="1041"/>
      <c r="M257" s="487">
        <f>Calculations!D50</f>
        <v>0</v>
      </c>
      <c r="N257" s="710" t="s">
        <v>718</v>
      </c>
      <c r="O257" s="711"/>
      <c r="P257" s="817">
        <f>Calculations!D51</f>
        <v>0</v>
      </c>
      <c r="Q257" s="818"/>
    </row>
    <row r="258" spans="2:17" s="101" customFormat="1" ht="13.5" customHeight="1" x14ac:dyDescent="0.15">
      <c r="B258" s="353">
        <f>_Q7</f>
        <v>0</v>
      </c>
      <c r="C258" s="313" t="s">
        <v>564</v>
      </c>
      <c r="D258" s="310" t="s">
        <v>463</v>
      </c>
      <c r="E258" s="157"/>
      <c r="F258" s="202" t="str">
        <f>_T7</f>
        <v>Having pain in your genitals (for no known medical reason).</v>
      </c>
      <c r="G258" s="202"/>
      <c r="H258" s="202"/>
      <c r="I258" s="202"/>
      <c r="J258" s="202"/>
      <c r="K258" s="202"/>
      <c r="L258" s="202"/>
      <c r="M258" s="202"/>
      <c r="N258" s="202"/>
      <c r="O258" s="202"/>
      <c r="P258" s="202"/>
      <c r="Q258" s="203"/>
    </row>
    <row r="259" spans="2:17" s="101" customFormat="1" ht="13.5" customHeight="1" x14ac:dyDescent="0.15">
      <c r="B259" s="354">
        <f>_Q15</f>
        <v>0</v>
      </c>
      <c r="C259" s="314" t="s">
        <v>565</v>
      </c>
      <c r="D259" s="311" t="s">
        <v>462</v>
      </c>
      <c r="E259" s="157"/>
      <c r="F259" s="202" t="str">
        <f>_T15</f>
        <v>Having difficulty swallowing (for no known medical reason).</v>
      </c>
      <c r="G259" s="202"/>
      <c r="H259" s="202"/>
      <c r="I259" s="202"/>
      <c r="J259" s="202"/>
      <c r="K259" s="202"/>
      <c r="L259" s="202"/>
      <c r="M259" s="202"/>
      <c r="N259" s="202"/>
      <c r="O259" s="202"/>
      <c r="P259" s="202"/>
      <c r="Q259" s="203"/>
    </row>
    <row r="260" spans="2:17" s="101" customFormat="1" ht="13.5" customHeight="1" x14ac:dyDescent="0.15">
      <c r="B260" s="354">
        <f>_Q27</f>
        <v>0</v>
      </c>
      <c r="C260" s="314" t="s">
        <v>566</v>
      </c>
      <c r="D260" s="311" t="s">
        <v>462</v>
      </c>
      <c r="E260" s="157"/>
      <c r="F260" s="202" t="str">
        <f>_T27</f>
        <v xml:space="preserve">Having no feeling at all in your body (for no known medical reason).  </v>
      </c>
      <c r="G260" s="202"/>
      <c r="H260" s="202"/>
      <c r="I260" s="202"/>
      <c r="J260" s="202"/>
      <c r="K260" s="202"/>
      <c r="L260" s="202"/>
      <c r="M260" s="202"/>
      <c r="N260" s="202"/>
      <c r="O260" s="202"/>
      <c r="P260" s="202"/>
      <c r="Q260" s="203"/>
    </row>
    <row r="261" spans="2:17" s="101" customFormat="1" ht="13.5" customHeight="1" x14ac:dyDescent="0.15">
      <c r="B261" s="354">
        <f>_Q39</f>
        <v>0</v>
      </c>
      <c r="C261" s="314" t="s">
        <v>567</v>
      </c>
      <c r="D261" s="311" t="s">
        <v>462</v>
      </c>
      <c r="E261" s="157"/>
      <c r="F261" s="202" t="str">
        <f>_T39</f>
        <v>Not being able to see for a while (as if you are blind) (for no known medical reason).</v>
      </c>
      <c r="G261" s="202"/>
      <c r="H261" s="202"/>
      <c r="I261" s="202"/>
      <c r="J261" s="202"/>
      <c r="K261" s="202"/>
      <c r="L261" s="202"/>
      <c r="M261" s="202"/>
      <c r="N261" s="202"/>
      <c r="O261" s="202"/>
      <c r="P261" s="202"/>
      <c r="Q261" s="203"/>
    </row>
    <row r="262" spans="2:17" s="101" customFormat="1" ht="13.5" customHeight="1" x14ac:dyDescent="0.15">
      <c r="B262" s="354">
        <f>_Q60</f>
        <v>0</v>
      </c>
      <c r="C262" s="314" t="s">
        <v>568</v>
      </c>
      <c r="D262" s="311" t="s">
        <v>462</v>
      </c>
      <c r="E262" s="157"/>
      <c r="F262" s="202" t="str">
        <f>_T60</f>
        <v xml:space="preserve">Being paralyzed or unable to move (for no known medical reason).  </v>
      </c>
      <c r="G262" s="202"/>
      <c r="H262" s="202"/>
      <c r="I262" s="202"/>
      <c r="J262" s="202"/>
      <c r="K262" s="202"/>
      <c r="L262" s="202"/>
      <c r="M262" s="202"/>
      <c r="N262" s="202"/>
      <c r="O262" s="202"/>
      <c r="P262" s="202"/>
      <c r="Q262" s="203"/>
    </row>
    <row r="263" spans="2:17" s="101" customFormat="1" ht="13.5" customHeight="1" x14ac:dyDescent="0.15">
      <c r="B263" s="354">
        <f>_Q71</f>
        <v>0</v>
      </c>
      <c r="C263" s="314" t="s">
        <v>569</v>
      </c>
      <c r="D263" s="311" t="s">
        <v>462</v>
      </c>
      <c r="E263" s="157"/>
      <c r="F263" s="202" t="str">
        <f>_T71</f>
        <v xml:space="preserve">Not being able to hear for a while (as if you are deaf) (for no known medical reason). </v>
      </c>
      <c r="G263" s="202"/>
      <c r="H263" s="202"/>
      <c r="I263" s="202"/>
      <c r="J263" s="202"/>
      <c r="K263" s="202"/>
      <c r="L263" s="202"/>
      <c r="M263" s="202"/>
      <c r="N263" s="202"/>
      <c r="O263" s="202"/>
      <c r="P263" s="202"/>
      <c r="Q263" s="203"/>
    </row>
    <row r="264" spans="2:17" s="101" customFormat="1" ht="13.5" customHeight="1" x14ac:dyDescent="0.15">
      <c r="B264" s="354">
        <f>_Q82</f>
        <v>0</v>
      </c>
      <c r="C264" s="314" t="s">
        <v>570</v>
      </c>
      <c r="D264" s="311" t="s">
        <v>462</v>
      </c>
      <c r="E264" s="157"/>
      <c r="F264" s="202" t="str">
        <f>_T82</f>
        <v>Having difficulty walking (for no known medical reason).</v>
      </c>
      <c r="G264" s="202"/>
      <c r="H264" s="202"/>
      <c r="I264" s="202"/>
      <c r="J264" s="202"/>
      <c r="K264" s="202"/>
      <c r="L264" s="202"/>
      <c r="M264" s="202"/>
      <c r="N264" s="202"/>
      <c r="O264" s="202"/>
      <c r="P264" s="202"/>
      <c r="Q264" s="203"/>
    </row>
    <row r="265" spans="2:17" s="101" customFormat="1" ht="13.5" customHeight="1" x14ac:dyDescent="0.15">
      <c r="B265" s="354">
        <f>_Q94</f>
        <v>0</v>
      </c>
      <c r="C265" s="314" t="s">
        <v>571</v>
      </c>
      <c r="D265" s="311" t="s">
        <v>462</v>
      </c>
      <c r="E265" s="157"/>
      <c r="F265" s="202" t="str">
        <f>_T94</f>
        <v xml:space="preserve">Having seizures for which your doctor can find no reason. </v>
      </c>
      <c r="G265" s="202"/>
      <c r="H265" s="202"/>
      <c r="I265" s="202"/>
      <c r="J265" s="202"/>
      <c r="K265" s="202"/>
      <c r="L265" s="202"/>
      <c r="M265" s="202"/>
      <c r="N265" s="202"/>
      <c r="O265" s="202"/>
      <c r="P265" s="202"/>
      <c r="Q265" s="203"/>
    </row>
    <row r="266" spans="2:17" s="101" customFormat="1" ht="13.5" customHeight="1" x14ac:dyDescent="0.15">
      <c r="B266" s="354">
        <f>_Q166</f>
        <v>0</v>
      </c>
      <c r="C266" s="314" t="s">
        <v>572</v>
      </c>
      <c r="D266" s="311" t="s">
        <v>462</v>
      </c>
      <c r="E266" s="157"/>
      <c r="F266" s="202" t="str">
        <f>_T166</f>
        <v>Hearing sounds from nearby as if they were coming from far away (for no known medical reason).</v>
      </c>
      <c r="G266" s="202"/>
      <c r="H266" s="202"/>
      <c r="I266" s="202"/>
      <c r="J266" s="202"/>
      <c r="K266" s="202"/>
      <c r="L266" s="202"/>
      <c r="M266" s="202"/>
      <c r="N266" s="202"/>
      <c r="O266" s="202"/>
      <c r="P266" s="202"/>
      <c r="Q266" s="203"/>
    </row>
    <row r="267" spans="2:17" s="101" customFormat="1" ht="13.5" customHeight="1" x14ac:dyDescent="0.15">
      <c r="B267" s="354">
        <f>_Q169</f>
        <v>0</v>
      </c>
      <c r="C267" s="314" t="s">
        <v>573</v>
      </c>
      <c r="D267" s="311" t="s">
        <v>462</v>
      </c>
      <c r="E267" s="157"/>
      <c r="F267" s="202" t="str">
        <f>_T169</f>
        <v>Feeling no pain (when you should have felt pain) (for no known medical reason).</v>
      </c>
      <c r="G267" s="202"/>
      <c r="H267" s="202"/>
      <c r="I267" s="202"/>
      <c r="J267" s="202"/>
      <c r="K267" s="202"/>
      <c r="L267" s="202"/>
      <c r="M267" s="202"/>
      <c r="N267" s="202"/>
      <c r="O267" s="202"/>
      <c r="P267" s="202"/>
      <c r="Q267" s="203"/>
    </row>
    <row r="268" spans="2:17" s="101" customFormat="1" ht="13.5" customHeight="1" x14ac:dyDescent="0.15">
      <c r="B268" s="354">
        <f>_Q181</f>
        <v>0</v>
      </c>
      <c r="C268" s="314" t="s">
        <v>574</v>
      </c>
      <c r="D268" s="311" t="s">
        <v>462</v>
      </c>
      <c r="E268" s="157"/>
      <c r="F268" s="202" t="str">
        <f>_T181</f>
        <v>Having pain while urinating (for no known medical reason).</v>
      </c>
      <c r="G268" s="202"/>
      <c r="H268" s="202"/>
      <c r="I268" s="202"/>
      <c r="J268" s="202"/>
      <c r="K268" s="202"/>
      <c r="L268" s="202"/>
      <c r="M268" s="202"/>
      <c r="N268" s="202"/>
      <c r="O268" s="202"/>
      <c r="P268" s="202"/>
      <c r="Q268" s="203"/>
    </row>
    <row r="269" spans="2:17" ht="14" customHeight="1" thickBot="1" x14ac:dyDescent="0.2">
      <c r="B269" s="372">
        <f>_Q183</f>
        <v>0</v>
      </c>
      <c r="C269" s="352" t="s">
        <v>575</v>
      </c>
      <c r="D269" s="371" t="s">
        <v>462</v>
      </c>
      <c r="E269" s="204"/>
      <c r="F269" s="205" t="str">
        <f>_T183</f>
        <v>Having ‘tunnel vision’ (where your visual field narrows down to just a tunnel) (for no known medical reason).</v>
      </c>
      <c r="G269" s="205"/>
      <c r="H269" s="205"/>
      <c r="I269" s="205"/>
      <c r="J269" s="205"/>
      <c r="K269" s="205"/>
      <c r="L269" s="205"/>
      <c r="M269" s="202"/>
      <c r="N269" s="202"/>
      <c r="O269" s="202"/>
      <c r="P269" s="202"/>
      <c r="Q269" s="203"/>
    </row>
    <row r="270" spans="2:17" ht="15" customHeight="1" thickBot="1" x14ac:dyDescent="0.2">
      <c r="M270" s="1049" t="s">
        <v>402</v>
      </c>
      <c r="N270" s="1050"/>
      <c r="O270" s="1050"/>
      <c r="P270" s="1050"/>
      <c r="Q270" s="1051"/>
    </row>
    <row r="271" spans="2:17" ht="13.5" customHeight="1" x14ac:dyDescent="0.15">
      <c r="M271" s="94"/>
      <c r="N271" s="94"/>
      <c r="O271" s="94"/>
      <c r="P271" s="94"/>
      <c r="Q271" s="94"/>
    </row>
    <row r="272" spans="2:17" ht="13.5" customHeight="1" x14ac:dyDescent="0.15">
      <c r="M272" s="94"/>
      <c r="N272" s="94"/>
      <c r="O272" s="94"/>
      <c r="P272" s="94"/>
      <c r="Q272" s="94"/>
    </row>
    <row r="273" spans="2:17" ht="13.5" customHeight="1" x14ac:dyDescent="0.15">
      <c r="M273" s="94"/>
      <c r="N273" s="94"/>
      <c r="O273" s="94"/>
      <c r="P273" s="94"/>
      <c r="Q273" s="94"/>
    </row>
    <row r="274" spans="2:17" ht="13.5" customHeight="1" thickBot="1" x14ac:dyDescent="0.2">
      <c r="M274" s="94"/>
      <c r="N274" s="94"/>
      <c r="O274" s="94"/>
      <c r="P274" s="94"/>
      <c r="Q274" s="94"/>
    </row>
    <row r="275" spans="2:17" s="181" customFormat="1" ht="16" customHeight="1" thickBot="1" x14ac:dyDescent="0.2">
      <c r="B275" s="713" t="s">
        <v>854</v>
      </c>
      <c r="C275" s="714"/>
      <c r="D275" s="714"/>
      <c r="E275" s="714"/>
      <c r="F275" s="714"/>
      <c r="G275" s="714"/>
      <c r="H275" s="714"/>
      <c r="I275" s="714"/>
      <c r="J275" s="714"/>
      <c r="K275" s="714"/>
      <c r="L275" s="714"/>
      <c r="M275" s="714"/>
      <c r="N275" s="714"/>
      <c r="O275" s="714"/>
      <c r="P275" s="714"/>
      <c r="Q275" s="715"/>
    </row>
    <row r="276" spans="2:17" s="101" customFormat="1" ht="13.5" customHeight="1" x14ac:dyDescent="0.15">
      <c r="B276" s="143" t="s">
        <v>22</v>
      </c>
      <c r="C276" s="144"/>
      <c r="D276" s="144"/>
      <c r="E276" s="145"/>
      <c r="F276" s="145"/>
      <c r="G276" s="145"/>
      <c r="H276" s="145"/>
      <c r="I276" s="1053" t="s">
        <v>689</v>
      </c>
      <c r="J276" s="1054"/>
      <c r="K276" s="1042" t="s">
        <v>717</v>
      </c>
      <c r="L276" s="1043"/>
      <c r="M276" s="494">
        <f>Calculations!D54</f>
        <v>0</v>
      </c>
      <c r="N276" s="1047" t="s">
        <v>718</v>
      </c>
      <c r="O276" s="1048"/>
      <c r="P276" s="1031">
        <f>Calculations!D55</f>
        <v>0</v>
      </c>
      <c r="Q276" s="1032"/>
    </row>
    <row r="277" spans="2:17" ht="13.5" customHeight="1" x14ac:dyDescent="0.15">
      <c r="B277" s="367">
        <f>_Q16</f>
        <v>0</v>
      </c>
      <c r="C277" s="323" t="s">
        <v>576</v>
      </c>
      <c r="D277" s="320" t="s">
        <v>471</v>
      </c>
      <c r="E277" s="188"/>
      <c r="F277" s="202" t="str">
        <f>_T16</f>
        <v>Having trance-like episodes where you stare off into space and lose awareness of what is going on around you.</v>
      </c>
      <c r="G277" s="202"/>
      <c r="H277" s="202"/>
      <c r="I277" s="202"/>
      <c r="J277" s="202"/>
      <c r="K277" s="202"/>
      <c r="L277" s="395"/>
      <c r="M277" s="395"/>
      <c r="N277" s="395"/>
      <c r="O277" s="395"/>
      <c r="P277" s="395"/>
      <c r="Q277" s="396"/>
    </row>
    <row r="278" spans="2:17" ht="13.5" customHeight="1" x14ac:dyDescent="0.15">
      <c r="B278" s="354">
        <f>_Q77</f>
        <v>0</v>
      </c>
      <c r="C278" s="314" t="s">
        <v>577</v>
      </c>
      <c r="D278" s="311" t="s">
        <v>463</v>
      </c>
      <c r="E278" s="157"/>
      <c r="F278" s="202" t="str">
        <f>_T77</f>
        <v xml:space="preserve">People think that you live 'in a world of your own.' </v>
      </c>
      <c r="G278" s="202"/>
      <c r="H278" s="202"/>
      <c r="I278" s="202"/>
      <c r="J278" s="202"/>
      <c r="K278" s="202"/>
      <c r="L278" s="202"/>
      <c r="M278" s="202"/>
      <c r="N278" s="202"/>
      <c r="O278" s="202"/>
      <c r="P278" s="202"/>
      <c r="Q278" s="203"/>
    </row>
    <row r="279" spans="2:17" ht="13.5" customHeight="1" x14ac:dyDescent="0.15">
      <c r="B279" s="354">
        <f>_Q95</f>
        <v>0</v>
      </c>
      <c r="C279" s="314" t="s">
        <v>578</v>
      </c>
      <c r="D279" s="311" t="s">
        <v>462</v>
      </c>
      <c r="E279" s="157"/>
      <c r="F279" s="202" t="str">
        <f>_T95</f>
        <v xml:space="preserve">Going into trance so much (or for so long) that it interferes with your daily activities and responsibilities.  </v>
      </c>
      <c r="G279" s="202"/>
      <c r="H279" s="202"/>
      <c r="I279" s="202"/>
      <c r="J279" s="202"/>
      <c r="K279" s="202"/>
      <c r="L279" s="202"/>
      <c r="M279" s="202"/>
      <c r="N279" s="202"/>
      <c r="O279" s="202"/>
      <c r="P279" s="202"/>
      <c r="Q279" s="203"/>
    </row>
    <row r="280" spans="2:17" ht="13.5" customHeight="1" x14ac:dyDescent="0.15">
      <c r="B280" s="354">
        <f>_Q106</f>
        <v>0</v>
      </c>
      <c r="C280" s="314" t="s">
        <v>579</v>
      </c>
      <c r="D280" s="311" t="s">
        <v>462</v>
      </c>
      <c r="E280" s="157"/>
      <c r="F280" s="202" t="str">
        <f>_T106</f>
        <v>Going into trance for hours.</v>
      </c>
      <c r="G280" s="202"/>
      <c r="H280" s="202"/>
      <c r="I280" s="202"/>
      <c r="J280" s="202"/>
      <c r="K280" s="202"/>
      <c r="L280" s="202"/>
      <c r="M280" s="202"/>
      <c r="N280" s="202"/>
      <c r="O280" s="202"/>
      <c r="P280" s="202"/>
      <c r="Q280" s="203"/>
    </row>
    <row r="281" spans="2:17" ht="13.5" customHeight="1" x14ac:dyDescent="0.15">
      <c r="B281" s="354">
        <f>_Q116</f>
        <v>0</v>
      </c>
      <c r="C281" s="314" t="s">
        <v>580</v>
      </c>
      <c r="D281" s="311" t="s">
        <v>463</v>
      </c>
      <c r="E281" s="157"/>
      <c r="F281" s="202" t="str">
        <f>_T116</f>
        <v>Drifting into trance without even realizing that it is happening.</v>
      </c>
      <c r="G281" s="202"/>
      <c r="H281" s="202"/>
      <c r="I281" s="202"/>
      <c r="J281" s="202"/>
      <c r="K281" s="202"/>
      <c r="L281" s="202"/>
      <c r="M281" s="202"/>
      <c r="N281" s="202"/>
      <c r="O281" s="202"/>
      <c r="P281" s="202"/>
      <c r="Q281" s="203"/>
    </row>
    <row r="282" spans="2:17" ht="13.5" customHeight="1" x14ac:dyDescent="0.15">
      <c r="B282" s="354">
        <f>_Q127</f>
        <v>0</v>
      </c>
      <c r="C282" s="314" t="s">
        <v>581</v>
      </c>
      <c r="D282" s="311" t="s">
        <v>471</v>
      </c>
      <c r="E282" s="157"/>
      <c r="F282" s="202" t="str">
        <f>_T127</f>
        <v>When something upsetting starts to happen, you ‘go away’ in your mind.</v>
      </c>
      <c r="G282" s="202"/>
      <c r="H282" s="202"/>
      <c r="I282" s="202"/>
      <c r="J282" s="202"/>
      <c r="K282" s="202"/>
      <c r="L282" s="202"/>
      <c r="M282" s="202"/>
      <c r="N282" s="202"/>
      <c r="O282" s="202"/>
      <c r="P282" s="202"/>
      <c r="Q282" s="203"/>
    </row>
    <row r="283" spans="2:17" ht="13.5" customHeight="1" x14ac:dyDescent="0.15">
      <c r="B283" s="354">
        <f>_Q139</f>
        <v>0</v>
      </c>
      <c r="C283" s="314" t="s">
        <v>582</v>
      </c>
      <c r="D283" s="311" t="s">
        <v>462</v>
      </c>
      <c r="E283" s="157"/>
      <c r="F283" s="202" t="str">
        <f>_T139</f>
        <v>Being bothered by how much you ‘trance out.’</v>
      </c>
      <c r="G283" s="202"/>
      <c r="H283" s="202"/>
      <c r="I283" s="202"/>
      <c r="J283" s="202"/>
      <c r="K283" s="202"/>
      <c r="L283" s="202"/>
      <c r="M283" s="202"/>
      <c r="N283" s="202"/>
      <c r="O283" s="202"/>
      <c r="P283" s="202"/>
      <c r="Q283" s="203"/>
    </row>
    <row r="284" spans="2:17" ht="13.5" customHeight="1" x14ac:dyDescent="0.15">
      <c r="B284" s="354">
        <f>_Q147</f>
        <v>0</v>
      </c>
      <c r="C284" s="314" t="s">
        <v>583</v>
      </c>
      <c r="D284" s="311" t="s">
        <v>462</v>
      </c>
      <c r="E284" s="157"/>
      <c r="F284" s="202" t="str">
        <f>_T147</f>
        <v>Going into trance several days in a row.</v>
      </c>
      <c r="G284" s="202"/>
      <c r="H284" s="202"/>
      <c r="I284" s="202"/>
      <c r="J284" s="202"/>
      <c r="K284" s="202"/>
      <c r="L284" s="202"/>
      <c r="M284" s="202"/>
      <c r="N284" s="202"/>
      <c r="O284" s="202"/>
      <c r="P284" s="202"/>
      <c r="Q284" s="203"/>
    </row>
    <row r="285" spans="2:17" ht="13.5" customHeight="1" x14ac:dyDescent="0.15">
      <c r="B285" s="354">
        <f>_Q157</f>
        <v>0</v>
      </c>
      <c r="C285" s="314" t="s">
        <v>584</v>
      </c>
      <c r="D285" s="311" t="s">
        <v>455</v>
      </c>
      <c r="E285" s="157"/>
      <c r="F285" s="202" t="str">
        <f>_T157</f>
        <v>Thinking about nothing.</v>
      </c>
      <c r="G285" s="202"/>
      <c r="H285" s="202"/>
      <c r="I285" s="202"/>
      <c r="J285" s="202"/>
      <c r="K285" s="202"/>
      <c r="L285" s="202"/>
      <c r="M285" s="202"/>
      <c r="N285" s="202"/>
      <c r="O285" s="202"/>
      <c r="P285" s="202"/>
      <c r="Q285" s="203"/>
    </row>
    <row r="286" spans="2:17" ht="13.5" customHeight="1" x14ac:dyDescent="0.15">
      <c r="B286" s="354">
        <f>_Q177</f>
        <v>0</v>
      </c>
      <c r="C286" s="314" t="s">
        <v>585</v>
      </c>
      <c r="D286" s="311" t="s">
        <v>463</v>
      </c>
      <c r="E286" s="157"/>
      <c r="F286" s="202" t="str">
        <f>_T177</f>
        <v>People noticing your blank stare and the fact that you are ‘gone.’</v>
      </c>
      <c r="G286" s="202"/>
      <c r="H286" s="202"/>
      <c r="I286" s="202"/>
      <c r="J286" s="202"/>
      <c r="K286" s="202"/>
      <c r="L286" s="202"/>
      <c r="M286" s="202"/>
      <c r="N286" s="202"/>
      <c r="O286" s="202"/>
      <c r="P286" s="202"/>
      <c r="Q286" s="203"/>
    </row>
    <row r="287" spans="2:17" ht="13.5" customHeight="1" x14ac:dyDescent="0.15">
      <c r="B287" s="354">
        <f>_Q183</f>
        <v>0</v>
      </c>
      <c r="C287" s="314" t="s">
        <v>575</v>
      </c>
      <c r="D287" s="311" t="s">
        <v>462</v>
      </c>
      <c r="E287" s="157"/>
      <c r="F287" s="202" t="str">
        <f>_T183</f>
        <v>Having ‘tunnel vision’ (where your visual field narrows down to just a tunnel) (for no known medical reason).</v>
      </c>
      <c r="G287" s="202"/>
      <c r="H287" s="202"/>
      <c r="I287" s="202"/>
      <c r="J287" s="202"/>
      <c r="K287" s="202"/>
      <c r="L287" s="202"/>
      <c r="M287" s="202"/>
      <c r="N287" s="202"/>
      <c r="O287" s="202"/>
      <c r="P287" s="202"/>
      <c r="Q287" s="203"/>
    </row>
    <row r="288" spans="2:17" ht="13" customHeight="1" x14ac:dyDescent="0.15">
      <c r="B288" s="354">
        <f>_Q184</f>
        <v>0</v>
      </c>
      <c r="C288" s="314" t="s">
        <v>586</v>
      </c>
      <c r="D288" s="311" t="s">
        <v>462</v>
      </c>
      <c r="E288" s="157"/>
      <c r="F288" s="202" t="str">
        <f>_T184</f>
        <v>Having difficulty staying out of trance.</v>
      </c>
      <c r="G288" s="202"/>
      <c r="H288" s="202"/>
      <c r="I288" s="202"/>
      <c r="J288" s="202"/>
      <c r="K288" s="202"/>
      <c r="L288" s="202"/>
      <c r="M288" s="202"/>
      <c r="N288" s="202"/>
      <c r="O288" s="202"/>
      <c r="P288" s="202"/>
      <c r="Q288" s="203"/>
    </row>
    <row r="289" spans="2:17" ht="13.5" customHeight="1" thickBot="1" x14ac:dyDescent="0.2">
      <c r="B289" s="372">
        <f>_Q194</f>
        <v>0</v>
      </c>
      <c r="C289" s="352" t="s">
        <v>587</v>
      </c>
      <c r="D289" s="371" t="s">
        <v>455</v>
      </c>
      <c r="E289" s="157"/>
      <c r="F289" s="202" t="str">
        <f>_T194</f>
        <v>Not remembering what happens when you drive a familiar route in your car.</v>
      </c>
      <c r="G289" s="202"/>
      <c r="H289" s="202"/>
      <c r="I289" s="202"/>
      <c r="J289" s="202"/>
      <c r="K289" s="202"/>
      <c r="L289" s="202"/>
      <c r="M289" s="202"/>
      <c r="N289" s="202"/>
      <c r="O289" s="202"/>
      <c r="P289" s="202"/>
      <c r="Q289" s="203"/>
    </row>
    <row r="290" spans="2:17" s="32" customFormat="1" ht="10" customHeight="1" thickBot="1" x14ac:dyDescent="0.25">
      <c r="B290" s="200"/>
      <c r="C290" s="200"/>
      <c r="D290" s="200"/>
      <c r="E290" s="201"/>
      <c r="F290" s="201"/>
      <c r="G290" s="201"/>
      <c r="H290" s="201"/>
      <c r="I290" s="201"/>
      <c r="J290" s="201"/>
      <c r="K290" s="201"/>
      <c r="L290" s="201"/>
      <c r="M290" s="201"/>
      <c r="N290" s="201"/>
      <c r="O290" s="201"/>
      <c r="P290" s="201"/>
      <c r="Q290" s="201"/>
    </row>
    <row r="291" spans="2:17" s="101" customFormat="1" ht="16" customHeight="1" thickBot="1" x14ac:dyDescent="0.2">
      <c r="B291" s="1044" t="s">
        <v>855</v>
      </c>
      <c r="C291" s="1045"/>
      <c r="D291" s="1045"/>
      <c r="E291" s="1045"/>
      <c r="F291" s="1045"/>
      <c r="G291" s="1045"/>
      <c r="H291" s="1045"/>
      <c r="I291" s="1045"/>
      <c r="J291" s="1045"/>
      <c r="K291" s="1045"/>
      <c r="L291" s="1045"/>
      <c r="M291" s="1045"/>
      <c r="N291" s="1045"/>
      <c r="O291" s="1045"/>
      <c r="P291" s="1045"/>
      <c r="Q291" s="1046"/>
    </row>
    <row r="292" spans="2:17" s="101" customFormat="1" ht="13" customHeight="1" x14ac:dyDescent="0.15">
      <c r="B292" s="196" t="s">
        <v>23</v>
      </c>
      <c r="C292" s="197"/>
      <c r="D292" s="197"/>
      <c r="E292" s="198"/>
      <c r="F292" s="198"/>
      <c r="G292" s="198"/>
      <c r="H292" s="198"/>
      <c r="I292" s="798" t="s">
        <v>691</v>
      </c>
      <c r="J292" s="799"/>
      <c r="K292" s="856" t="s">
        <v>717</v>
      </c>
      <c r="L292" s="857"/>
      <c r="M292" s="538">
        <f>Calculations!D144</f>
        <v>0</v>
      </c>
      <c r="N292" s="722" t="s">
        <v>718</v>
      </c>
      <c r="O292" s="723"/>
      <c r="P292" s="860">
        <f>Calculations!D145</f>
        <v>0</v>
      </c>
      <c r="Q292" s="861"/>
    </row>
    <row r="293" spans="2:17" ht="13.5" customHeight="1" x14ac:dyDescent="0.15">
      <c r="B293" s="326">
        <f>_Q6</f>
        <v>0</v>
      </c>
      <c r="C293" s="329" t="s">
        <v>508</v>
      </c>
      <c r="D293" s="331" t="s">
        <v>463</v>
      </c>
      <c r="E293" s="43"/>
      <c r="F293" s="33" t="str">
        <f>_T6</f>
        <v>Hearing the voice of a child in your head.</v>
      </c>
      <c r="Q293" s="75"/>
    </row>
    <row r="294" spans="2:17" ht="13" customHeight="1" x14ac:dyDescent="0.15">
      <c r="B294" s="317">
        <f>_Q97</f>
        <v>0</v>
      </c>
      <c r="C294" s="318" t="s">
        <v>511</v>
      </c>
      <c r="D294" s="319" t="s">
        <v>463</v>
      </c>
      <c r="E294" s="43"/>
      <c r="F294" s="33" t="str">
        <f>_T97</f>
        <v xml:space="preserve">Hearing a lot of noise or yelling in your head.  </v>
      </c>
      <c r="Q294" s="75"/>
    </row>
    <row r="295" spans="2:17" ht="13.5" customHeight="1" x14ac:dyDescent="0.15">
      <c r="B295" s="328">
        <f>_Q118</f>
        <v>0</v>
      </c>
      <c r="C295" s="330" t="s">
        <v>512</v>
      </c>
      <c r="D295" s="332" t="s">
        <v>462</v>
      </c>
      <c r="E295" s="43"/>
      <c r="F295" s="33" t="str">
        <f>_T118</f>
        <v xml:space="preserve">Hearing voices crying in your head.  </v>
      </c>
      <c r="Q295" s="75"/>
    </row>
    <row r="296" spans="2:17" s="101" customFormat="1" ht="13.5" customHeight="1" x14ac:dyDescent="0.15">
      <c r="B296" s="151" t="s">
        <v>765</v>
      </c>
      <c r="C296" s="152"/>
      <c r="D296" s="152"/>
      <c r="E296" s="153"/>
      <c r="F296" s="154"/>
      <c r="G296" s="154"/>
      <c r="H296" s="154"/>
      <c r="I296" s="770" t="s">
        <v>692</v>
      </c>
      <c r="J296" s="771"/>
      <c r="K296" s="803" t="s">
        <v>717</v>
      </c>
      <c r="L296" s="804"/>
      <c r="M296" s="540">
        <f>Calculations!D148</f>
        <v>0</v>
      </c>
      <c r="N296" s="708" t="s">
        <v>718</v>
      </c>
      <c r="O296" s="709"/>
      <c r="P296" s="729">
        <f>Calculations!D149</f>
        <v>0</v>
      </c>
      <c r="Q296" s="730"/>
    </row>
    <row r="297" spans="2:17" ht="13.5" customHeight="1" x14ac:dyDescent="0.15">
      <c r="B297" s="353">
        <f>_Q30</f>
        <v>0</v>
      </c>
      <c r="C297" s="313" t="s">
        <v>604</v>
      </c>
      <c r="D297" s="310" t="s">
        <v>462</v>
      </c>
      <c r="E297" s="100"/>
      <c r="F297" s="101" t="str">
        <f>_T30</f>
        <v xml:space="preserve">Hearing voices in your head that argue or converse with one another.  </v>
      </c>
      <c r="G297" s="101"/>
      <c r="H297" s="101"/>
      <c r="I297" s="162"/>
      <c r="J297" s="162"/>
      <c r="K297" s="101"/>
      <c r="L297" s="163"/>
      <c r="M297" s="164"/>
      <c r="N297" s="163"/>
      <c r="O297" s="163"/>
      <c r="P297" s="165"/>
      <c r="Q297" s="166"/>
    </row>
    <row r="298" spans="2:17" ht="13.5" customHeight="1" x14ac:dyDescent="0.15">
      <c r="B298" s="317">
        <f>_Q42</f>
        <v>0</v>
      </c>
      <c r="C298" s="324" t="s">
        <v>605</v>
      </c>
      <c r="D298" s="321" t="s">
        <v>462</v>
      </c>
      <c r="E298" s="43"/>
      <c r="F298" s="101" t="str">
        <f>_T42</f>
        <v>Hearing a voice in your head that tries to tell you what to do.</v>
      </c>
      <c r="G298" s="101"/>
      <c r="H298" s="101"/>
      <c r="I298" s="101"/>
      <c r="J298" s="101"/>
      <c r="K298" s="101"/>
      <c r="L298" s="101"/>
      <c r="M298" s="101"/>
      <c r="N298" s="101"/>
      <c r="O298" s="101"/>
      <c r="P298" s="101"/>
      <c r="Q298" s="102"/>
    </row>
    <row r="299" spans="2:17" ht="13.5" customHeight="1" x14ac:dyDescent="0.15">
      <c r="B299" s="317">
        <f>_Q112</f>
        <v>0</v>
      </c>
      <c r="C299" s="324" t="s">
        <v>493</v>
      </c>
      <c r="D299" s="321" t="s">
        <v>463</v>
      </c>
      <c r="E299" s="43"/>
      <c r="F299" s="101" t="str">
        <f>_T112</f>
        <v>Feeling the presence of an angry part in your head that tries to control what you do or say.</v>
      </c>
      <c r="G299" s="101"/>
      <c r="H299" s="101"/>
      <c r="I299" s="101"/>
      <c r="J299" s="101"/>
      <c r="K299" s="101"/>
      <c r="L299" s="101"/>
      <c r="M299" s="101"/>
      <c r="N299" s="101"/>
      <c r="O299" s="101"/>
      <c r="P299" s="101"/>
      <c r="Q299" s="102"/>
    </row>
    <row r="300" spans="2:17" ht="13.5" customHeight="1" x14ac:dyDescent="0.15">
      <c r="B300" s="317">
        <f>_Q120</f>
        <v>0</v>
      </c>
      <c r="C300" s="324" t="s">
        <v>606</v>
      </c>
      <c r="D300" s="321" t="s">
        <v>463</v>
      </c>
      <c r="E300" s="43"/>
      <c r="F300" s="101" t="str">
        <f>_T120</f>
        <v>Something in your mind interferes when you think about things that you ‘shouldn’t’ think about.</v>
      </c>
      <c r="G300" s="101"/>
      <c r="H300" s="101"/>
      <c r="I300" s="101"/>
      <c r="J300" s="101"/>
      <c r="K300" s="101"/>
      <c r="L300" s="101"/>
      <c r="M300" s="101"/>
      <c r="N300" s="101"/>
      <c r="O300" s="101"/>
      <c r="P300" s="101"/>
      <c r="Q300" s="102"/>
    </row>
    <row r="301" spans="2:17" ht="13.5" customHeight="1" x14ac:dyDescent="0.15">
      <c r="B301" s="317">
        <f>_Q161</f>
        <v>0</v>
      </c>
      <c r="C301" s="324" t="s">
        <v>607</v>
      </c>
      <c r="D301" s="321" t="s">
        <v>462</v>
      </c>
      <c r="E301" s="43"/>
      <c r="F301" s="101" t="str">
        <f>_T161</f>
        <v>Feeling as if there is something inside you that takes control of your behavior or speech.</v>
      </c>
      <c r="G301" s="101"/>
      <c r="H301" s="101"/>
      <c r="I301" s="101"/>
      <c r="J301" s="101"/>
      <c r="K301" s="101"/>
      <c r="L301" s="101"/>
      <c r="M301" s="101"/>
      <c r="N301" s="101"/>
      <c r="O301" s="101"/>
      <c r="P301" s="101"/>
      <c r="Q301" s="102"/>
    </row>
    <row r="302" spans="2:17" ht="13.5" customHeight="1" x14ac:dyDescent="0.15">
      <c r="B302" s="317">
        <f>_Q190</f>
        <v>0</v>
      </c>
      <c r="C302" s="324" t="s">
        <v>608</v>
      </c>
      <c r="D302" s="321" t="s">
        <v>455</v>
      </c>
      <c r="E302" s="43"/>
      <c r="F302" s="101" t="str">
        <f>_T190</f>
        <v xml:space="preserve">Feeling as if there is a struggle going on inside of you about who you really are.  </v>
      </c>
      <c r="G302" s="101"/>
      <c r="H302" s="101"/>
      <c r="I302" s="101"/>
      <c r="J302" s="101"/>
      <c r="K302" s="101"/>
      <c r="L302" s="101"/>
      <c r="M302" s="101"/>
      <c r="N302" s="101"/>
      <c r="O302" s="101"/>
      <c r="P302" s="101"/>
      <c r="Q302" s="102"/>
    </row>
    <row r="303" spans="2:17" ht="13.5" customHeight="1" x14ac:dyDescent="0.15">
      <c r="B303" s="317">
        <f>_Q199</f>
        <v>0</v>
      </c>
      <c r="C303" s="324" t="s">
        <v>609</v>
      </c>
      <c r="D303" s="321" t="s">
        <v>462</v>
      </c>
      <c r="E303" s="43"/>
      <c r="F303" s="101" t="str">
        <f>_T199</f>
        <v xml:space="preserve">Hearing a voice in your head that tells you to “shut up.” </v>
      </c>
      <c r="G303" s="101"/>
      <c r="H303" s="101"/>
      <c r="I303" s="101"/>
      <c r="J303" s="101"/>
      <c r="K303" s="101"/>
      <c r="L303" s="101"/>
      <c r="M303" s="101"/>
      <c r="N303" s="101"/>
      <c r="O303" s="101"/>
      <c r="P303" s="101"/>
      <c r="Q303" s="102"/>
    </row>
    <row r="304" spans="2:17" ht="13.5" customHeight="1" x14ac:dyDescent="0.15">
      <c r="B304" s="317">
        <f>_Q210</f>
        <v>0</v>
      </c>
      <c r="C304" s="324" t="s">
        <v>610</v>
      </c>
      <c r="D304" s="321" t="s">
        <v>453</v>
      </c>
      <c r="E304" s="43"/>
      <c r="F304" s="101" t="str">
        <f>_T210</f>
        <v>Feeling a struggle inside you about what to think, how to feel, what you should do.</v>
      </c>
      <c r="G304" s="101"/>
      <c r="H304" s="101"/>
      <c r="I304" s="101"/>
      <c r="J304" s="101"/>
      <c r="K304" s="101"/>
      <c r="L304" s="101"/>
      <c r="M304" s="101"/>
      <c r="N304" s="101"/>
      <c r="O304" s="101"/>
      <c r="P304" s="101"/>
      <c r="Q304" s="102"/>
    </row>
    <row r="305" spans="2:17" ht="13.5" customHeight="1" x14ac:dyDescent="0.15">
      <c r="B305" s="317">
        <f>_Q212</f>
        <v>0</v>
      </c>
      <c r="C305" s="324" t="s">
        <v>495</v>
      </c>
      <c r="D305" s="321" t="s">
        <v>455</v>
      </c>
      <c r="E305" s="43"/>
      <c r="F305" s="101" t="str">
        <f>_T212</f>
        <v>Feeling that another part or entity inside you tries to stop you from doing or saying something.</v>
      </c>
      <c r="G305" s="101"/>
      <c r="H305" s="101"/>
      <c r="I305" s="101"/>
      <c r="J305" s="101"/>
      <c r="K305" s="101"/>
      <c r="L305" s="101"/>
      <c r="M305" s="101"/>
      <c r="N305" s="101"/>
      <c r="O305" s="101"/>
      <c r="P305" s="101"/>
      <c r="Q305" s="102"/>
    </row>
    <row r="306" spans="2:17" ht="13.5" customHeight="1" x14ac:dyDescent="0.15">
      <c r="B306" s="328">
        <f>_Q215</f>
        <v>0</v>
      </c>
      <c r="C306" s="334" t="s">
        <v>497</v>
      </c>
      <c r="D306" s="333" t="s">
        <v>463</v>
      </c>
      <c r="E306" s="43"/>
      <c r="F306" s="101" t="str">
        <f>_T215</f>
        <v xml:space="preserve">Feeling the presence of an angry part in your head that seems to hate you. </v>
      </c>
      <c r="G306" s="101"/>
      <c r="H306" s="101"/>
      <c r="I306" s="101"/>
      <c r="J306" s="101"/>
      <c r="K306" s="101"/>
      <c r="L306" s="101"/>
      <c r="M306" s="101"/>
      <c r="N306" s="101"/>
      <c r="O306" s="101"/>
      <c r="P306" s="101"/>
      <c r="Q306" s="102"/>
    </row>
    <row r="307" spans="2:17" s="101" customFormat="1" ht="13.5" customHeight="1" x14ac:dyDescent="0.15">
      <c r="B307" s="436" t="s">
        <v>24</v>
      </c>
      <c r="C307" s="421"/>
      <c r="D307" s="421"/>
      <c r="E307" s="154"/>
      <c r="F307" s="154"/>
      <c r="G307" s="154"/>
      <c r="H307" s="154"/>
      <c r="I307" s="770" t="s">
        <v>693</v>
      </c>
      <c r="J307" s="771"/>
      <c r="K307" s="803" t="s">
        <v>717</v>
      </c>
      <c r="L307" s="804"/>
      <c r="M307" s="540">
        <f>Calculations!D152</f>
        <v>0</v>
      </c>
      <c r="N307" s="708" t="s">
        <v>718</v>
      </c>
      <c r="O307" s="709"/>
      <c r="P307" s="729">
        <f>Calculations!D153</f>
        <v>0</v>
      </c>
      <c r="Q307" s="730"/>
    </row>
    <row r="308" spans="2:17" ht="13.5" customHeight="1" x14ac:dyDescent="0.15">
      <c r="B308" s="326">
        <f>_Q84</f>
        <v>0</v>
      </c>
      <c r="C308" s="323" t="s">
        <v>612</v>
      </c>
      <c r="D308" s="320" t="s">
        <v>463</v>
      </c>
      <c r="E308" s="43"/>
      <c r="F308" s="101" t="str">
        <f>_T84</f>
        <v>Hearing a voice in your head that wants you to hurt yourself.</v>
      </c>
      <c r="G308" s="101"/>
      <c r="H308" s="101"/>
      <c r="I308" s="101"/>
      <c r="J308" s="101"/>
      <c r="K308" s="101"/>
      <c r="L308" s="101"/>
      <c r="M308" s="101"/>
      <c r="N308" s="101"/>
      <c r="O308" s="101"/>
      <c r="P308" s="101"/>
      <c r="Q308" s="102"/>
    </row>
    <row r="309" spans="2:17" ht="13.5" customHeight="1" x14ac:dyDescent="0.15">
      <c r="B309" s="317">
        <f>_Q140</f>
        <v>0</v>
      </c>
      <c r="C309" s="324" t="s">
        <v>613</v>
      </c>
      <c r="D309" s="321" t="s">
        <v>463</v>
      </c>
      <c r="E309" s="43"/>
      <c r="F309" s="101" t="str">
        <f>_T140</f>
        <v>Hearing a voice in your head that calls you names (for example, wimp, stupid, whore, slut, bitch, etc.).</v>
      </c>
      <c r="G309" s="101"/>
      <c r="H309" s="101"/>
      <c r="I309" s="101"/>
      <c r="J309" s="101"/>
      <c r="K309" s="101"/>
      <c r="L309" s="101"/>
      <c r="M309" s="101"/>
      <c r="N309" s="101"/>
      <c r="O309" s="101"/>
      <c r="P309" s="101"/>
      <c r="Q309" s="102"/>
    </row>
    <row r="310" spans="2:17" ht="13.5" customHeight="1" x14ac:dyDescent="0.15">
      <c r="B310" s="317">
        <f>_Q159</f>
        <v>0</v>
      </c>
      <c r="C310" s="324" t="s">
        <v>614</v>
      </c>
      <c r="D310" s="321" t="s">
        <v>463</v>
      </c>
      <c r="E310" s="43"/>
      <c r="F310" s="101" t="str">
        <f>_T159</f>
        <v xml:space="preserve">Hearing a voice in your head that wants you to die.  </v>
      </c>
      <c r="G310" s="101"/>
      <c r="H310" s="101"/>
      <c r="I310" s="101"/>
      <c r="J310" s="101"/>
      <c r="K310" s="101"/>
      <c r="L310" s="101"/>
      <c r="M310" s="101"/>
      <c r="N310" s="101"/>
      <c r="O310" s="101"/>
      <c r="P310" s="101"/>
      <c r="Q310" s="102"/>
    </row>
    <row r="311" spans="2:17" ht="13.5" customHeight="1" x14ac:dyDescent="0.15">
      <c r="B311" s="317">
        <f>_Q171</f>
        <v>0</v>
      </c>
      <c r="C311" s="324" t="s">
        <v>615</v>
      </c>
      <c r="D311" s="321" t="s">
        <v>463</v>
      </c>
      <c r="E311" s="43"/>
      <c r="F311" s="101" t="str">
        <f>_T171</f>
        <v xml:space="preserve">Hearing a voice in your head that calls you a liar or tells you that certain events never happened.  </v>
      </c>
      <c r="G311" s="101"/>
      <c r="H311" s="101"/>
      <c r="I311" s="101"/>
      <c r="J311" s="101"/>
      <c r="K311" s="101"/>
      <c r="L311" s="101"/>
      <c r="M311" s="101"/>
      <c r="N311" s="101"/>
      <c r="O311" s="101"/>
      <c r="P311" s="101"/>
      <c r="Q311" s="102"/>
    </row>
    <row r="312" spans="2:17" ht="13.5" customHeight="1" x14ac:dyDescent="0.15">
      <c r="B312" s="328">
        <f>_Q207</f>
        <v>0</v>
      </c>
      <c r="C312" s="334" t="s">
        <v>616</v>
      </c>
      <c r="D312" s="333" t="s">
        <v>463</v>
      </c>
      <c r="E312" s="43"/>
      <c r="F312" s="101" t="str">
        <f>_T207</f>
        <v xml:space="preserve">Hearing a voice in your head that calls you no good, worthless, or a failure. </v>
      </c>
      <c r="G312" s="101"/>
      <c r="H312" s="101"/>
      <c r="I312" s="101"/>
      <c r="J312" s="101"/>
      <c r="K312" s="101"/>
      <c r="L312" s="101"/>
      <c r="M312" s="101"/>
      <c r="N312" s="101"/>
      <c r="O312" s="101"/>
      <c r="P312" s="101"/>
      <c r="Q312" s="102"/>
    </row>
    <row r="313" spans="2:17" s="101" customFormat="1" ht="13.5" customHeight="1" x14ac:dyDescent="0.15">
      <c r="B313" s="151" t="s">
        <v>28</v>
      </c>
      <c r="C313" s="152"/>
      <c r="D313" s="152"/>
      <c r="E313" s="154"/>
      <c r="F313" s="154"/>
      <c r="G313" s="154"/>
      <c r="H313" s="154"/>
      <c r="I313" s="770" t="s">
        <v>693</v>
      </c>
      <c r="J313" s="771"/>
      <c r="K313" s="803" t="s">
        <v>717</v>
      </c>
      <c r="L313" s="804"/>
      <c r="M313" s="540">
        <f>Calculations!D156</f>
        <v>0</v>
      </c>
      <c r="N313" s="708" t="s">
        <v>718</v>
      </c>
      <c r="O313" s="709"/>
      <c r="P313" s="729">
        <f>Calculations!D157</f>
        <v>0</v>
      </c>
      <c r="Q313" s="730"/>
    </row>
    <row r="314" spans="2:17" ht="13.5" customHeight="1" x14ac:dyDescent="0.15">
      <c r="B314" s="326">
        <f>_Q9</f>
        <v>0</v>
      </c>
      <c r="C314" s="329" t="s">
        <v>617</v>
      </c>
      <c r="D314" s="331" t="s">
        <v>455</v>
      </c>
      <c r="E314" s="43"/>
      <c r="F314" s="101" t="str">
        <f>_T9</f>
        <v>Hearing yourself talk, but you don’t feel that you are choosing the words that are coming out of your mouth.</v>
      </c>
      <c r="G314" s="101"/>
      <c r="H314" s="101"/>
      <c r="I314" s="101"/>
      <c r="J314" s="101"/>
      <c r="K314" s="101"/>
      <c r="L314" s="101"/>
      <c r="M314" s="101"/>
      <c r="N314" s="101"/>
      <c r="O314" s="101"/>
      <c r="P314" s="101"/>
      <c r="Q314" s="102"/>
    </row>
    <row r="315" spans="2:17" ht="13.5" customHeight="1" x14ac:dyDescent="0.15">
      <c r="B315" s="317">
        <f>_Q99</f>
        <v>0</v>
      </c>
      <c r="C315" s="318" t="s">
        <v>618</v>
      </c>
      <c r="D315" s="319" t="s">
        <v>463</v>
      </c>
      <c r="E315" s="43"/>
      <c r="F315" s="101" t="str">
        <f>_T99</f>
        <v>Words just flowing from your mouth as if they were not in your control.</v>
      </c>
      <c r="G315" s="101"/>
      <c r="H315" s="101"/>
      <c r="I315" s="101"/>
      <c r="J315" s="101"/>
      <c r="K315" s="101"/>
      <c r="L315" s="101"/>
      <c r="M315" s="101"/>
      <c r="N315" s="101"/>
      <c r="O315" s="101"/>
      <c r="P315" s="101"/>
      <c r="Q315" s="102"/>
    </row>
    <row r="316" spans="2:17" ht="13.5" customHeight="1" x14ac:dyDescent="0.15">
      <c r="B316" s="328">
        <f>_Q117</f>
        <v>0</v>
      </c>
      <c r="C316" s="330" t="s">
        <v>619</v>
      </c>
      <c r="D316" s="332" t="s">
        <v>462</v>
      </c>
      <c r="E316" s="43"/>
      <c r="F316" s="101" t="str">
        <f>_T117</f>
        <v>Words come out of your mouth, but you didn’t say them---you don’t know where those words came from.</v>
      </c>
      <c r="G316" s="101"/>
      <c r="H316" s="101"/>
      <c r="I316" s="101"/>
      <c r="J316" s="101"/>
      <c r="K316" s="101"/>
      <c r="L316" s="101"/>
      <c r="M316" s="101"/>
      <c r="N316" s="101"/>
      <c r="O316" s="101"/>
      <c r="P316" s="101"/>
      <c r="Q316" s="102"/>
    </row>
    <row r="317" spans="2:17" s="101" customFormat="1" ht="13.5" customHeight="1" x14ac:dyDescent="0.15">
      <c r="B317" s="436" t="s">
        <v>29</v>
      </c>
      <c r="C317" s="421"/>
      <c r="D317" s="421"/>
      <c r="E317" s="154"/>
      <c r="F317" s="154"/>
      <c r="G317" s="154"/>
      <c r="H317" s="154"/>
      <c r="I317" s="770" t="s">
        <v>692</v>
      </c>
      <c r="J317" s="771"/>
      <c r="K317" s="803" t="s">
        <v>717</v>
      </c>
      <c r="L317" s="804"/>
      <c r="M317" s="550">
        <f>Calculations!D160</f>
        <v>0</v>
      </c>
      <c r="N317" s="708" t="s">
        <v>718</v>
      </c>
      <c r="O317" s="709"/>
      <c r="P317" s="982">
        <f>Calculations!D161</f>
        <v>0</v>
      </c>
      <c r="Q317" s="983"/>
    </row>
    <row r="318" spans="2:17" ht="13.5" customHeight="1" x14ac:dyDescent="0.15">
      <c r="B318" s="326">
        <f>_Q22</f>
        <v>0</v>
      </c>
      <c r="C318" s="323" t="s">
        <v>620</v>
      </c>
      <c r="D318" s="320" t="s">
        <v>455</v>
      </c>
      <c r="E318" s="43"/>
      <c r="F318" s="101" t="str">
        <f>_T22</f>
        <v xml:space="preserve">Strong thoughts in your head that “come from out of nowhere.”  </v>
      </c>
      <c r="G318" s="101"/>
      <c r="H318" s="101"/>
      <c r="I318" s="101"/>
      <c r="J318" s="101"/>
      <c r="K318" s="101"/>
      <c r="L318" s="101"/>
      <c r="M318" s="101"/>
      <c r="N318" s="101"/>
      <c r="O318" s="101"/>
      <c r="P318" s="101"/>
      <c r="Q318" s="102"/>
    </row>
    <row r="319" spans="2:17" ht="13.5" customHeight="1" x14ac:dyDescent="0.15">
      <c r="B319" s="317">
        <f>_Q146</f>
        <v>0</v>
      </c>
      <c r="C319" s="324" t="s">
        <v>621</v>
      </c>
      <c r="D319" s="321" t="s">
        <v>455</v>
      </c>
      <c r="E319" s="43"/>
      <c r="F319" s="101" t="str">
        <f>_T146</f>
        <v xml:space="preserve">Your thoughts and feelings are so changeable that you don’t understand yourself. </v>
      </c>
      <c r="G319" s="101"/>
      <c r="H319" s="101"/>
      <c r="I319" s="101"/>
      <c r="J319" s="101"/>
      <c r="K319" s="101"/>
      <c r="L319" s="101"/>
      <c r="M319" s="101"/>
      <c r="N319" s="101"/>
      <c r="O319" s="101"/>
      <c r="P319" s="101"/>
      <c r="Q319" s="102"/>
    </row>
    <row r="320" spans="2:17" ht="13.5" customHeight="1" x14ac:dyDescent="0.15">
      <c r="B320" s="317">
        <f>_Q151</f>
        <v>0</v>
      </c>
      <c r="C320" s="324" t="s">
        <v>622</v>
      </c>
      <c r="D320" s="321" t="s">
        <v>455</v>
      </c>
      <c r="E320" s="43"/>
      <c r="F320" s="101" t="str">
        <f>_T151</f>
        <v xml:space="preserve">Thoughts coming into your mind that you cannot stop. </v>
      </c>
      <c r="G320" s="101"/>
      <c r="H320" s="101"/>
      <c r="I320" s="101"/>
      <c r="J320" s="101"/>
      <c r="K320" s="101"/>
      <c r="L320" s="101"/>
      <c r="M320" s="101"/>
      <c r="N320" s="101"/>
      <c r="O320" s="101"/>
      <c r="P320" s="101"/>
      <c r="Q320" s="102"/>
    </row>
    <row r="321" spans="2:17" ht="13.5" customHeight="1" x14ac:dyDescent="0.15">
      <c r="B321" s="317">
        <f>_Q180</f>
        <v>0</v>
      </c>
      <c r="C321" s="324" t="s">
        <v>623</v>
      </c>
      <c r="D321" s="321" t="s">
        <v>463</v>
      </c>
      <c r="E321" s="43"/>
      <c r="F321" s="101" t="str">
        <f>_T180</f>
        <v>Having thoughts that don’t really seem to belong to you.</v>
      </c>
      <c r="G321" s="101"/>
      <c r="H321" s="101"/>
      <c r="I321" s="101"/>
      <c r="J321" s="101"/>
      <c r="K321" s="101"/>
      <c r="L321" s="101"/>
      <c r="M321" s="101"/>
      <c r="N321" s="101"/>
      <c r="O321" s="101"/>
      <c r="P321" s="101"/>
      <c r="Q321" s="102"/>
    </row>
    <row r="322" spans="2:17" ht="13.5" customHeight="1" x14ac:dyDescent="0.15">
      <c r="B322" s="328">
        <f>_Q210</f>
        <v>0</v>
      </c>
      <c r="C322" s="334" t="s">
        <v>610</v>
      </c>
      <c r="D322" s="333" t="s">
        <v>453</v>
      </c>
      <c r="E322" s="43"/>
      <c r="F322" s="101" t="str">
        <f>_T210</f>
        <v>Feeling a struggle inside you about what to think, how to feel, what you should do.</v>
      </c>
      <c r="G322" s="101"/>
      <c r="H322" s="101"/>
      <c r="I322" s="101"/>
      <c r="J322" s="101"/>
      <c r="K322" s="101"/>
      <c r="L322" s="101"/>
      <c r="M322" s="101"/>
      <c r="N322" s="101"/>
      <c r="O322" s="101"/>
      <c r="P322" s="101"/>
      <c r="Q322" s="102"/>
    </row>
    <row r="323" spans="2:17" ht="13.5" customHeight="1" x14ac:dyDescent="0.15">
      <c r="B323" s="151" t="s">
        <v>415</v>
      </c>
      <c r="C323" s="152"/>
      <c r="D323" s="152"/>
      <c r="E323" s="154"/>
      <c r="F323" s="154"/>
      <c r="G323" s="154"/>
      <c r="H323" s="154"/>
      <c r="I323" s="805" t="s">
        <v>688</v>
      </c>
      <c r="J323" s="806"/>
      <c r="K323" s="801" t="s">
        <v>717</v>
      </c>
      <c r="L323" s="802"/>
      <c r="M323" s="487">
        <f>Calculations!D164</f>
        <v>0</v>
      </c>
      <c r="N323" s="710" t="s">
        <v>718</v>
      </c>
      <c r="O323" s="711"/>
      <c r="P323" s="817">
        <f>Calculations!D165</f>
        <v>0</v>
      </c>
      <c r="Q323" s="818"/>
    </row>
    <row r="324" spans="2:17" ht="13.5" customHeight="1" x14ac:dyDescent="0.15">
      <c r="B324" s="326">
        <f>_Q32</f>
        <v>0</v>
      </c>
      <c r="C324" s="329" t="s">
        <v>624</v>
      </c>
      <c r="D324" s="331" t="s">
        <v>471</v>
      </c>
      <c r="E324" s="43"/>
      <c r="F324" s="101" t="str">
        <f>_T32</f>
        <v xml:space="preserve">Strong feelings of emotional pain and hurt that come from out of nowhere.  </v>
      </c>
      <c r="G324" s="101"/>
      <c r="H324" s="101"/>
      <c r="I324" s="101"/>
      <c r="J324" s="101"/>
      <c r="K324" s="101"/>
      <c r="L324" s="101"/>
      <c r="M324" s="101"/>
      <c r="N324" s="101"/>
      <c r="O324" s="101"/>
      <c r="P324" s="101"/>
      <c r="Q324" s="102"/>
    </row>
    <row r="325" spans="2:17" ht="13.5" customHeight="1" x14ac:dyDescent="0.15">
      <c r="B325" s="317">
        <f>_Q57</f>
        <v>0</v>
      </c>
      <c r="C325" s="318" t="s">
        <v>625</v>
      </c>
      <c r="D325" s="319" t="s">
        <v>455</v>
      </c>
      <c r="E325" s="43"/>
      <c r="F325" s="101" t="str">
        <f>_T57</f>
        <v xml:space="preserve">Your moods changing so rapidly that you don’t know what you are going to feel from one minute to the next.  </v>
      </c>
      <c r="G325" s="101"/>
      <c r="H325" s="101"/>
      <c r="I325" s="101"/>
      <c r="J325" s="101"/>
      <c r="K325" s="101"/>
      <c r="L325" s="101"/>
      <c r="M325" s="101"/>
      <c r="N325" s="101"/>
      <c r="O325" s="101"/>
      <c r="P325" s="101"/>
      <c r="Q325" s="102"/>
    </row>
    <row r="326" spans="2:17" ht="13.5" customHeight="1" x14ac:dyDescent="0.15">
      <c r="B326" s="317">
        <f>_Q101</f>
        <v>0</v>
      </c>
      <c r="C326" s="318" t="s">
        <v>626</v>
      </c>
      <c r="D326" s="319" t="s">
        <v>455</v>
      </c>
      <c r="E326" s="43"/>
      <c r="F326" s="101" t="str">
        <f>_T101</f>
        <v xml:space="preserve">Sudden strong feelings of anger that seem to come from out of nowhere. </v>
      </c>
      <c r="G326" s="101"/>
      <c r="H326" s="101"/>
      <c r="I326" s="101"/>
      <c r="J326" s="101"/>
      <c r="K326" s="101"/>
      <c r="L326" s="101"/>
      <c r="M326" s="101"/>
      <c r="N326" s="101"/>
      <c r="O326" s="101"/>
      <c r="P326" s="101"/>
      <c r="Q326" s="102"/>
    </row>
    <row r="327" spans="2:17" ht="13.5" customHeight="1" x14ac:dyDescent="0.15">
      <c r="B327" s="317">
        <f>_Q146</f>
        <v>0</v>
      </c>
      <c r="C327" s="318" t="s">
        <v>621</v>
      </c>
      <c r="D327" s="319" t="s">
        <v>455</v>
      </c>
      <c r="E327" s="43"/>
      <c r="F327" s="101" t="str">
        <f>_T146</f>
        <v xml:space="preserve">Your thoughts and feelings are so changeable that you don’t understand yourself. </v>
      </c>
      <c r="G327" s="101"/>
      <c r="H327" s="101"/>
      <c r="I327" s="101"/>
      <c r="J327" s="101"/>
      <c r="K327" s="101"/>
      <c r="L327" s="101"/>
      <c r="M327" s="101"/>
      <c r="N327" s="101"/>
      <c r="O327" s="101"/>
      <c r="P327" s="101"/>
      <c r="Q327" s="102"/>
    </row>
    <row r="328" spans="2:17" ht="13.5" customHeight="1" x14ac:dyDescent="0.15">
      <c r="B328" s="317">
        <f>_Q185</f>
        <v>0</v>
      </c>
      <c r="C328" s="318" t="s">
        <v>627</v>
      </c>
      <c r="D328" s="319" t="s">
        <v>455</v>
      </c>
      <c r="E328" s="43"/>
      <c r="F328" s="101" t="str">
        <f>_T185</f>
        <v>Your mood changing rapidly without any reason.</v>
      </c>
      <c r="G328" s="101"/>
      <c r="H328" s="101"/>
      <c r="I328" s="101"/>
      <c r="J328" s="101"/>
      <c r="K328" s="101"/>
      <c r="L328" s="101"/>
      <c r="M328" s="101"/>
      <c r="N328" s="101"/>
      <c r="O328" s="101"/>
      <c r="P328" s="101"/>
      <c r="Q328" s="102"/>
    </row>
    <row r="329" spans="2:17" ht="13.5" customHeight="1" x14ac:dyDescent="0.15">
      <c r="B329" s="317">
        <f>_Q193</f>
        <v>0</v>
      </c>
      <c r="C329" s="318" t="s">
        <v>628</v>
      </c>
      <c r="D329" s="319" t="s">
        <v>455</v>
      </c>
      <c r="E329" s="43"/>
      <c r="F329" s="101" t="str">
        <f>_T193</f>
        <v>Being confused or puzzled by your emotions.</v>
      </c>
      <c r="G329" s="101"/>
      <c r="H329" s="101"/>
      <c r="I329" s="101"/>
      <c r="J329" s="101"/>
      <c r="K329" s="101"/>
      <c r="L329" s="101"/>
      <c r="M329" s="101"/>
      <c r="N329" s="101"/>
      <c r="O329" s="101"/>
      <c r="P329" s="101"/>
      <c r="Q329" s="102"/>
    </row>
    <row r="330" spans="2:17" ht="13.5" customHeight="1" x14ac:dyDescent="0.15">
      <c r="B330" s="328">
        <f>_Q196</f>
        <v>0</v>
      </c>
      <c r="C330" s="330" t="s">
        <v>629</v>
      </c>
      <c r="D330" s="332" t="s">
        <v>455</v>
      </c>
      <c r="E330" s="43"/>
      <c r="F330" s="101" t="str">
        <f>_T196</f>
        <v>Very strong feelings (for example, fear, or anger, or emotional pain and hurt) that suddenly go away.</v>
      </c>
      <c r="G330" s="101"/>
      <c r="H330" s="101"/>
      <c r="I330" s="101"/>
      <c r="J330" s="101"/>
      <c r="K330" s="101"/>
      <c r="L330" s="101"/>
      <c r="M330" s="101"/>
      <c r="N330" s="101"/>
      <c r="O330" s="101"/>
      <c r="P330" s="101"/>
      <c r="Q330" s="102"/>
    </row>
    <row r="331" spans="2:17" s="101" customFormat="1" ht="13.5" customHeight="1" x14ac:dyDescent="0.15">
      <c r="B331" s="436" t="s">
        <v>25</v>
      </c>
      <c r="C331" s="421"/>
      <c r="D331" s="421"/>
      <c r="E331" s="154"/>
      <c r="F331" s="154"/>
      <c r="G331" s="154"/>
      <c r="H331" s="154"/>
      <c r="I331" s="770" t="s">
        <v>693</v>
      </c>
      <c r="J331" s="771"/>
      <c r="K331" s="803" t="s">
        <v>717</v>
      </c>
      <c r="L331" s="804"/>
      <c r="M331" s="540">
        <f>Calculations!D168</f>
        <v>0</v>
      </c>
      <c r="N331" s="708" t="s">
        <v>718</v>
      </c>
      <c r="O331" s="709"/>
      <c r="P331" s="729">
        <f>Calculations!D169</f>
        <v>0</v>
      </c>
      <c r="Q331" s="730"/>
    </row>
    <row r="332" spans="2:17" ht="13.5" customHeight="1" x14ac:dyDescent="0.15">
      <c r="B332" s="326">
        <f>_Q34</f>
        <v>0</v>
      </c>
      <c r="C332" s="323" t="s">
        <v>630</v>
      </c>
      <c r="D332" s="320" t="s">
        <v>463</v>
      </c>
      <c r="E332" s="43"/>
      <c r="F332" s="101" t="str">
        <f>_T34</f>
        <v>Having strong impulses to do something---but the impulses don’t feel like they belong to you.</v>
      </c>
      <c r="G332" s="101"/>
      <c r="H332" s="101"/>
      <c r="I332" s="101"/>
      <c r="J332" s="101"/>
      <c r="K332" s="101"/>
      <c r="L332" s="101"/>
      <c r="M332" s="101"/>
      <c r="N332" s="101"/>
      <c r="O332" s="101"/>
      <c r="P332" s="101"/>
      <c r="Q332" s="102"/>
    </row>
    <row r="333" spans="2:17" ht="13.5" customHeight="1" x14ac:dyDescent="0.15">
      <c r="B333" s="317">
        <f>_Q112</f>
        <v>0</v>
      </c>
      <c r="C333" s="324" t="s">
        <v>493</v>
      </c>
      <c r="D333" s="321" t="s">
        <v>463</v>
      </c>
      <c r="E333" s="43"/>
      <c r="F333" s="101" t="str">
        <f>_T112</f>
        <v>Feeling the presence of an angry part in your head that tries to control what you do or say.</v>
      </c>
      <c r="G333" s="101"/>
      <c r="H333" s="101"/>
      <c r="I333" s="101"/>
      <c r="J333" s="101"/>
      <c r="K333" s="101"/>
      <c r="L333" s="101"/>
      <c r="M333" s="101"/>
      <c r="N333" s="101"/>
      <c r="O333" s="101"/>
      <c r="P333" s="101"/>
      <c r="Q333" s="102"/>
    </row>
    <row r="334" spans="2:17" ht="13.5" customHeight="1" x14ac:dyDescent="0.15">
      <c r="B334" s="328">
        <f>_Q212</f>
        <v>0</v>
      </c>
      <c r="C334" s="334" t="s">
        <v>495</v>
      </c>
      <c r="D334" s="333" t="s">
        <v>455</v>
      </c>
      <c r="E334" s="43"/>
      <c r="F334" s="101" t="str">
        <f>_T212</f>
        <v>Feeling that another part or entity inside you tries to stop you from doing or saying something.</v>
      </c>
      <c r="G334" s="101"/>
      <c r="H334" s="101"/>
      <c r="I334" s="101"/>
      <c r="J334" s="101"/>
      <c r="K334" s="101"/>
      <c r="L334" s="101"/>
      <c r="M334" s="101"/>
      <c r="N334" s="101"/>
      <c r="O334" s="101"/>
      <c r="P334" s="101"/>
      <c r="Q334" s="102"/>
    </row>
    <row r="335" spans="2:17" s="101" customFormat="1" ht="13.5" customHeight="1" x14ac:dyDescent="0.15">
      <c r="B335" s="151" t="s">
        <v>26</v>
      </c>
      <c r="C335" s="152"/>
      <c r="D335" s="152"/>
      <c r="E335" s="154"/>
      <c r="F335" s="154"/>
      <c r="G335" s="154"/>
      <c r="H335" s="154"/>
      <c r="I335" s="770" t="s">
        <v>688</v>
      </c>
      <c r="J335" s="771"/>
      <c r="K335" s="803" t="s">
        <v>717</v>
      </c>
      <c r="L335" s="804"/>
      <c r="M335" s="540">
        <f>Calculations!D172</f>
        <v>0</v>
      </c>
      <c r="N335" s="708" t="s">
        <v>718</v>
      </c>
      <c r="O335" s="709"/>
      <c r="P335" s="729">
        <f>Calculations!D173</f>
        <v>0</v>
      </c>
      <c r="Q335" s="730"/>
    </row>
    <row r="336" spans="2:17" ht="13.5" customHeight="1" x14ac:dyDescent="0.15">
      <c r="B336" s="326">
        <f>_Q8</f>
        <v>0</v>
      </c>
      <c r="C336" s="323" t="s">
        <v>631</v>
      </c>
      <c r="D336" s="320" t="s">
        <v>463</v>
      </c>
      <c r="E336" s="43"/>
      <c r="F336" s="101" t="str">
        <f>_T8</f>
        <v xml:space="preserve">Having another personality that sometimes ‘takes over.’ </v>
      </c>
      <c r="G336" s="101"/>
      <c r="H336" s="101"/>
      <c r="I336" s="101"/>
      <c r="J336" s="101"/>
      <c r="K336" s="101"/>
      <c r="L336" s="101"/>
      <c r="M336" s="101"/>
      <c r="N336" s="101"/>
      <c r="O336" s="101"/>
      <c r="P336" s="101"/>
      <c r="Q336" s="102"/>
    </row>
    <row r="337" spans="2:17" ht="13.5" customHeight="1" x14ac:dyDescent="0.15">
      <c r="B337" s="317">
        <f>_Q17</f>
        <v>0</v>
      </c>
      <c r="C337" s="324" t="s">
        <v>632</v>
      </c>
      <c r="D337" s="321" t="s">
        <v>455</v>
      </c>
      <c r="E337" s="43"/>
      <c r="F337" s="101" t="str">
        <f>_T17</f>
        <v>Being puzzled by what you do or say.</v>
      </c>
      <c r="G337" s="101"/>
      <c r="H337" s="101"/>
      <c r="I337" s="101"/>
      <c r="J337" s="101"/>
      <c r="K337" s="101"/>
      <c r="L337" s="101"/>
      <c r="M337" s="101"/>
      <c r="N337" s="101"/>
      <c r="O337" s="101"/>
      <c r="P337" s="101"/>
      <c r="Q337" s="102"/>
    </row>
    <row r="338" spans="2:17" ht="13.5" customHeight="1" x14ac:dyDescent="0.15">
      <c r="B338" s="317">
        <f>_Q72</f>
        <v>0</v>
      </c>
      <c r="C338" s="324" t="s">
        <v>633</v>
      </c>
      <c r="D338" s="321" t="s">
        <v>463</v>
      </c>
      <c r="E338" s="43"/>
      <c r="F338" s="101" t="str">
        <f>_T72</f>
        <v>Feeling like you are often different from yourself.</v>
      </c>
      <c r="G338" s="101"/>
      <c r="H338" s="101"/>
      <c r="I338" s="101"/>
      <c r="J338" s="101"/>
      <c r="K338" s="101"/>
      <c r="L338" s="101"/>
      <c r="M338" s="101"/>
      <c r="N338" s="101"/>
      <c r="O338" s="101"/>
      <c r="P338" s="101"/>
      <c r="Q338" s="102"/>
    </row>
    <row r="339" spans="2:17" ht="13.5" customHeight="1" x14ac:dyDescent="0.15">
      <c r="B339" s="317">
        <f>_Q91</f>
        <v>0</v>
      </c>
      <c r="C339" s="324" t="s">
        <v>532</v>
      </c>
      <c r="D339" s="321" t="s">
        <v>462</v>
      </c>
      <c r="E339" s="43"/>
      <c r="F339" s="101" t="str">
        <f>_T91</f>
        <v>Standing outside of your body, watching yourself as if you were another person.</v>
      </c>
      <c r="G339" s="101"/>
      <c r="H339" s="101"/>
      <c r="I339" s="101"/>
      <c r="J339" s="101"/>
      <c r="K339" s="101"/>
      <c r="L339" s="101"/>
      <c r="M339" s="101"/>
      <c r="N339" s="101"/>
      <c r="O339" s="101"/>
      <c r="P339" s="101"/>
      <c r="Q339" s="102"/>
    </row>
    <row r="340" spans="2:17" ht="13.5" customHeight="1" x14ac:dyDescent="0.15">
      <c r="B340" s="317">
        <f>_Q107</f>
        <v>0</v>
      </c>
      <c r="C340" s="324" t="s">
        <v>634</v>
      </c>
      <c r="D340" s="321" t="s">
        <v>463</v>
      </c>
      <c r="E340" s="43"/>
      <c r="F340" s="101" t="str">
        <f>_T107</f>
        <v>Feeling like some of your behavior isn’t really ‘yours.’</v>
      </c>
      <c r="G340" s="101"/>
      <c r="H340" s="101"/>
      <c r="I340" s="101"/>
      <c r="J340" s="101"/>
      <c r="K340" s="101"/>
      <c r="L340" s="101"/>
      <c r="M340" s="101"/>
      <c r="N340" s="101"/>
      <c r="O340" s="101"/>
      <c r="P340" s="101"/>
      <c r="Q340" s="102"/>
    </row>
    <row r="341" spans="2:17" ht="13.5" customHeight="1" x14ac:dyDescent="0.15">
      <c r="B341" s="317">
        <f>_Q133</f>
        <v>0</v>
      </c>
      <c r="C341" s="324" t="s">
        <v>536</v>
      </c>
      <c r="D341" s="321" t="s">
        <v>455</v>
      </c>
      <c r="E341" s="43"/>
      <c r="F341" s="101" t="str">
        <f>_T133</f>
        <v xml:space="preserve">Feeling like you are ‘inside’ yourself, watching what you are doing. </v>
      </c>
      <c r="G341" s="101"/>
      <c r="H341" s="101"/>
      <c r="I341" s="101"/>
      <c r="J341" s="101"/>
      <c r="K341" s="101"/>
      <c r="L341" s="101"/>
      <c r="M341" s="101"/>
      <c r="N341" s="101"/>
      <c r="O341" s="101"/>
      <c r="P341" s="101"/>
      <c r="Q341" s="102"/>
    </row>
    <row r="342" spans="2:17" ht="13.5" customHeight="1" x14ac:dyDescent="0.15">
      <c r="B342" s="317">
        <f>_Q135</f>
        <v>0</v>
      </c>
      <c r="C342" s="324" t="s">
        <v>537</v>
      </c>
      <c r="D342" s="321" t="s">
        <v>455</v>
      </c>
      <c r="E342" s="43"/>
      <c r="F342" s="101" t="str">
        <f>_T135</f>
        <v>Feeling distant or removed from your thoughts and actions.</v>
      </c>
      <c r="G342" s="101"/>
      <c r="H342" s="101"/>
      <c r="I342" s="101"/>
      <c r="J342" s="101"/>
      <c r="K342" s="101"/>
      <c r="L342" s="101"/>
      <c r="M342" s="101"/>
      <c r="N342" s="101"/>
      <c r="O342" s="101"/>
      <c r="P342" s="101"/>
      <c r="Q342" s="102"/>
    </row>
    <row r="343" spans="2:17" ht="13.5" customHeight="1" x14ac:dyDescent="0.15">
      <c r="B343" s="317">
        <f>_Q161</f>
        <v>0</v>
      </c>
      <c r="C343" s="324" t="s">
        <v>607</v>
      </c>
      <c r="D343" s="321" t="s">
        <v>462</v>
      </c>
      <c r="E343" s="43"/>
      <c r="F343" s="101" t="str">
        <f>_T161</f>
        <v>Feeling as if there is something inside you that takes control of your behavior or speech.</v>
      </c>
      <c r="G343" s="101"/>
      <c r="H343" s="101"/>
      <c r="I343" s="101"/>
      <c r="J343" s="101"/>
      <c r="K343" s="101"/>
      <c r="L343" s="101"/>
      <c r="M343" s="101"/>
      <c r="N343" s="101"/>
      <c r="O343" s="101"/>
      <c r="P343" s="101"/>
      <c r="Q343" s="102"/>
    </row>
    <row r="344" spans="2:17" ht="13" customHeight="1" thickBot="1" x14ac:dyDescent="0.2">
      <c r="B344" s="327">
        <f>_Q208</f>
        <v>0</v>
      </c>
      <c r="C344" s="325" t="s">
        <v>494</v>
      </c>
      <c r="D344" s="322" t="s">
        <v>455</v>
      </c>
      <c r="E344" s="89"/>
      <c r="F344" s="76" t="str">
        <f>_T208</f>
        <v>Having a very angry part that ‘comes out’ and says and does things that you would never do or say.</v>
      </c>
      <c r="G344" s="76"/>
      <c r="H344" s="76"/>
      <c r="I344" s="76"/>
      <c r="J344" s="76"/>
      <c r="K344" s="76"/>
      <c r="L344" s="76"/>
      <c r="Q344" s="75"/>
    </row>
    <row r="345" spans="2:17" ht="14" customHeight="1" thickBot="1" x14ac:dyDescent="0.2">
      <c r="B345" s="44"/>
      <c r="C345" s="44"/>
      <c r="D345" s="44"/>
      <c r="E345" s="43"/>
      <c r="M345" s="792" t="s">
        <v>401</v>
      </c>
      <c r="N345" s="793"/>
      <c r="O345" s="793"/>
      <c r="P345" s="793"/>
      <c r="Q345" s="794"/>
    </row>
    <row r="346" spans="2:17" x14ac:dyDescent="0.15">
      <c r="B346" s="44"/>
      <c r="C346" s="44"/>
      <c r="D346" s="44"/>
      <c r="E346" s="43"/>
    </row>
    <row r="347" spans="2:17" x14ac:dyDescent="0.15">
      <c r="B347" s="44"/>
      <c r="C347" s="44"/>
      <c r="D347" s="44"/>
      <c r="E347" s="43"/>
    </row>
    <row r="348" spans="2:17" x14ac:dyDescent="0.15">
      <c r="B348" s="44"/>
      <c r="C348" s="44"/>
      <c r="D348" s="44"/>
      <c r="E348" s="43"/>
    </row>
    <row r="349" spans="2:17" x14ac:dyDescent="0.15">
      <c r="B349" s="44"/>
      <c r="C349" s="44"/>
      <c r="D349" s="44"/>
      <c r="E349" s="43"/>
    </row>
    <row r="350" spans="2:17" s="101" customFormat="1" ht="5" customHeight="1" thickBot="1" x14ac:dyDescent="0.2">
      <c r="B350" s="114"/>
      <c r="C350" s="114"/>
      <c r="D350" s="114"/>
      <c r="E350" s="100"/>
    </row>
    <row r="351" spans="2:17" s="101" customFormat="1" ht="16" customHeight="1" thickBot="1" x14ac:dyDescent="0.2">
      <c r="B351" s="1055" t="s">
        <v>856</v>
      </c>
      <c r="C351" s="1056"/>
      <c r="D351" s="1056"/>
      <c r="E351" s="1056"/>
      <c r="F351" s="1056"/>
      <c r="G351" s="1056"/>
      <c r="H351" s="1056"/>
      <c r="I351" s="1056"/>
      <c r="J351" s="1056"/>
      <c r="K351" s="1056"/>
      <c r="L351" s="1056"/>
      <c r="M351" s="1056"/>
      <c r="N351" s="1056"/>
      <c r="O351" s="1056"/>
      <c r="P351" s="1056"/>
      <c r="Q351" s="1057"/>
    </row>
    <row r="352" spans="2:17" s="101" customFormat="1" ht="13.5" customHeight="1" x14ac:dyDescent="0.15">
      <c r="B352" s="196" t="s">
        <v>30</v>
      </c>
      <c r="C352" s="197"/>
      <c r="D352" s="197"/>
      <c r="E352" s="198"/>
      <c r="F352" s="198"/>
      <c r="G352" s="198"/>
      <c r="H352" s="198"/>
      <c r="I352" s="1038" t="s">
        <v>693</v>
      </c>
      <c r="J352" s="1039"/>
      <c r="K352" s="1042" t="s">
        <v>717</v>
      </c>
      <c r="L352" s="1043"/>
      <c r="M352" s="494">
        <f>Calculations!D176</f>
        <v>0</v>
      </c>
      <c r="N352" s="1047" t="s">
        <v>718</v>
      </c>
      <c r="O352" s="1048"/>
      <c r="P352" s="1031">
        <f>Calculations!D177</f>
        <v>0</v>
      </c>
      <c r="Q352" s="1032"/>
    </row>
    <row r="353" spans="2:17" ht="13.5" customHeight="1" x14ac:dyDescent="0.15">
      <c r="B353" s="367">
        <f>_Q46</f>
        <v>0</v>
      </c>
      <c r="C353" s="323" t="s">
        <v>457</v>
      </c>
      <c r="D353" s="320" t="s">
        <v>462</v>
      </c>
      <c r="E353" s="188"/>
      <c r="F353" s="202" t="str">
        <f>_T46</f>
        <v xml:space="preserve">Being unable to remember who you are.  </v>
      </c>
      <c r="G353" s="202"/>
      <c r="H353" s="202"/>
      <c r="I353" s="202"/>
      <c r="J353" s="202"/>
      <c r="K353" s="202"/>
      <c r="L353" s="202"/>
      <c r="M353" s="202"/>
      <c r="N353" s="202"/>
      <c r="O353" s="202"/>
      <c r="P353" s="202"/>
      <c r="Q353" s="203"/>
    </row>
    <row r="354" spans="2:17" ht="13.5" customHeight="1" x14ac:dyDescent="0.15">
      <c r="B354" s="368">
        <f>_Q56</f>
        <v>0</v>
      </c>
      <c r="C354" s="324" t="s">
        <v>458</v>
      </c>
      <c r="D354" s="321" t="s">
        <v>462</v>
      </c>
      <c r="E354" s="188"/>
      <c r="F354" s="202" t="str">
        <f>_T56</f>
        <v>Being unable to remember your name, or age, or address.</v>
      </c>
      <c r="G354" s="202"/>
      <c r="H354" s="202"/>
      <c r="I354" s="202"/>
      <c r="J354" s="202"/>
      <c r="K354" s="202"/>
      <c r="L354" s="202"/>
      <c r="M354" s="202"/>
      <c r="N354" s="202"/>
      <c r="O354" s="202"/>
      <c r="P354" s="202"/>
      <c r="Q354" s="203"/>
    </row>
    <row r="355" spans="2:17" ht="13" customHeight="1" x14ac:dyDescent="0.15">
      <c r="B355" s="368">
        <f>_Q131</f>
        <v>0</v>
      </c>
      <c r="C355" s="324" t="s">
        <v>459</v>
      </c>
      <c r="D355" s="321" t="s">
        <v>455</v>
      </c>
      <c r="E355" s="188"/>
      <c r="F355" s="202" t="str">
        <f>_T131</f>
        <v>Being able to do something really well one time---and then not being able to do it at all at another time.</v>
      </c>
      <c r="G355" s="202"/>
      <c r="H355" s="202"/>
      <c r="I355" s="202"/>
      <c r="J355" s="202"/>
      <c r="K355" s="202"/>
      <c r="L355" s="202"/>
      <c r="M355" s="202"/>
      <c r="N355" s="202"/>
      <c r="O355" s="202"/>
      <c r="P355" s="202"/>
      <c r="Q355" s="203"/>
    </row>
    <row r="356" spans="2:17" ht="27" customHeight="1" x14ac:dyDescent="0.15">
      <c r="B356" s="355">
        <f>_Q162</f>
        <v>0</v>
      </c>
      <c r="C356" s="342" t="s">
        <v>460</v>
      </c>
      <c r="D356" s="339" t="s">
        <v>463</v>
      </c>
      <c r="E356" s="140"/>
      <c r="F356" s="738" t="str">
        <f>_T162</f>
        <v>Totally forgetting how to do something that you know very well how to do (for example, how to drive, how to read, how to use the computer, how to play the piano, etc.).</v>
      </c>
      <c r="G356" s="738"/>
      <c r="H356" s="738"/>
      <c r="I356" s="738"/>
      <c r="J356" s="738"/>
      <c r="K356" s="738"/>
      <c r="L356" s="738"/>
      <c r="M356" s="738"/>
      <c r="N356" s="738"/>
      <c r="O356" s="738"/>
      <c r="P356" s="738"/>
      <c r="Q356" s="186"/>
    </row>
    <row r="357" spans="2:17" ht="13.5" customHeight="1" x14ac:dyDescent="0.15">
      <c r="B357" s="366">
        <f>_Q189</f>
        <v>0</v>
      </c>
      <c r="C357" s="315" t="s">
        <v>461</v>
      </c>
      <c r="D357" s="312" t="s">
        <v>463</v>
      </c>
      <c r="E357" s="188"/>
      <c r="F357" s="202" t="str">
        <f>_T189</f>
        <v>Suddenly not knowing how to do your job.</v>
      </c>
      <c r="G357" s="202"/>
      <c r="H357" s="202"/>
      <c r="I357" s="202"/>
      <c r="J357" s="202"/>
      <c r="K357" s="202"/>
      <c r="L357" s="202"/>
      <c r="M357" s="202"/>
      <c r="N357" s="202"/>
      <c r="O357" s="202"/>
      <c r="P357" s="202"/>
      <c r="Q357" s="203"/>
    </row>
    <row r="358" spans="2:17" s="101" customFormat="1" ht="13.5" customHeight="1" x14ac:dyDescent="0.15">
      <c r="B358" s="436" t="s">
        <v>31</v>
      </c>
      <c r="C358" s="421"/>
      <c r="D358" s="421"/>
      <c r="E358" s="154"/>
      <c r="F358" s="154"/>
      <c r="G358" s="154"/>
      <c r="H358" s="154"/>
      <c r="I358" s="770" t="s">
        <v>688</v>
      </c>
      <c r="J358" s="771"/>
      <c r="K358" s="803" t="s">
        <v>717</v>
      </c>
      <c r="L358" s="804"/>
      <c r="M358" s="540">
        <f>Calculations!D180</f>
        <v>0</v>
      </c>
      <c r="N358" s="708" t="s">
        <v>718</v>
      </c>
      <c r="O358" s="709"/>
      <c r="P358" s="729">
        <f>Calculations!D181</f>
        <v>0</v>
      </c>
      <c r="Q358" s="730"/>
    </row>
    <row r="359" spans="2:17" ht="13.5" customHeight="1" x14ac:dyDescent="0.15">
      <c r="B359" s="367">
        <f>_Q4</f>
        <v>0</v>
      </c>
      <c r="C359" s="323" t="s">
        <v>635</v>
      </c>
      <c r="D359" s="320" t="s">
        <v>455</v>
      </c>
      <c r="E359" s="188"/>
      <c r="F359" s="202" t="str">
        <f>_T4</f>
        <v>Having an emotion (for example, fear, sadness, anger, happiness) that doesn’t feel like it is 'yours.'</v>
      </c>
      <c r="G359" s="202"/>
      <c r="H359" s="202"/>
      <c r="I359" s="202"/>
      <c r="J359" s="202"/>
      <c r="K359" s="202"/>
      <c r="L359" s="202"/>
      <c r="M359" s="202"/>
      <c r="N359" s="202"/>
      <c r="O359" s="202"/>
      <c r="P359" s="202"/>
      <c r="Q359" s="203"/>
    </row>
    <row r="360" spans="2:17" ht="13.5" customHeight="1" x14ac:dyDescent="0.15">
      <c r="B360" s="368">
        <f>_Q72</f>
        <v>0</v>
      </c>
      <c r="C360" s="324" t="s">
        <v>633</v>
      </c>
      <c r="D360" s="321" t="s">
        <v>463</v>
      </c>
      <c r="E360" s="188"/>
      <c r="F360" s="202" t="str">
        <f>_T72</f>
        <v>Feeling like you are often different from yourself.</v>
      </c>
      <c r="G360" s="202"/>
      <c r="H360" s="202"/>
      <c r="I360" s="202"/>
      <c r="J360" s="202"/>
      <c r="K360" s="202"/>
      <c r="L360" s="202"/>
      <c r="M360" s="202"/>
      <c r="N360" s="202"/>
      <c r="O360" s="202"/>
      <c r="P360" s="202"/>
      <c r="Q360" s="203"/>
    </row>
    <row r="361" spans="2:17" ht="13.5" customHeight="1" x14ac:dyDescent="0.15">
      <c r="B361" s="368">
        <f>_Q83</f>
        <v>0</v>
      </c>
      <c r="C361" s="324" t="s">
        <v>510</v>
      </c>
      <c r="D361" s="321" t="s">
        <v>455</v>
      </c>
      <c r="E361" s="188"/>
      <c r="F361" s="202" t="str">
        <f>_T83</f>
        <v>Switching back and forth between feeling like an adult and feeling like a child.</v>
      </c>
      <c r="G361" s="202"/>
      <c r="H361" s="202"/>
      <c r="I361" s="202"/>
      <c r="J361" s="202"/>
      <c r="K361" s="202"/>
      <c r="L361" s="202"/>
      <c r="M361" s="202"/>
      <c r="N361" s="202"/>
      <c r="O361" s="202"/>
      <c r="P361" s="202"/>
      <c r="Q361" s="203"/>
    </row>
    <row r="362" spans="2:17" ht="13" customHeight="1" x14ac:dyDescent="0.15">
      <c r="B362" s="368">
        <f>_Q107</f>
        <v>0</v>
      </c>
      <c r="C362" s="324" t="s">
        <v>634</v>
      </c>
      <c r="D362" s="321" t="s">
        <v>463</v>
      </c>
      <c r="E362" s="188"/>
      <c r="F362" s="202" t="str">
        <f>_T107</f>
        <v>Feeling like some of your behavior isn’t really ‘yours.’</v>
      </c>
      <c r="G362" s="202"/>
      <c r="H362" s="202"/>
      <c r="I362" s="202"/>
      <c r="J362" s="202"/>
      <c r="K362" s="202"/>
      <c r="L362" s="202"/>
      <c r="M362" s="202"/>
      <c r="N362" s="202"/>
      <c r="O362" s="202"/>
      <c r="P362" s="202"/>
      <c r="Q362" s="203"/>
    </row>
    <row r="363" spans="2:17" ht="27" customHeight="1" x14ac:dyDescent="0.15">
      <c r="B363" s="355">
        <f>_Q150</f>
        <v>0</v>
      </c>
      <c r="C363" s="342" t="s">
        <v>636</v>
      </c>
      <c r="D363" s="339" t="s">
        <v>462</v>
      </c>
      <c r="E363" s="140"/>
      <c r="F363" s="738" t="str">
        <f>_T150</f>
        <v>Discovering that you have changed your appearance (for example, cut your hair, or changed  your hairstyle, or changed what you are wearing, or put on cosmetics, etc.) with no memory of having done so.</v>
      </c>
      <c r="G363" s="738"/>
      <c r="H363" s="738"/>
      <c r="I363" s="738"/>
      <c r="J363" s="738"/>
      <c r="K363" s="738"/>
      <c r="L363" s="738"/>
      <c r="M363" s="738"/>
      <c r="N363" s="738"/>
      <c r="O363" s="738"/>
      <c r="P363" s="738"/>
      <c r="Q363" s="186"/>
    </row>
    <row r="364" spans="2:17" ht="13.5" customHeight="1" x14ac:dyDescent="0.15">
      <c r="B364" s="368">
        <f>_Q180</f>
        <v>0</v>
      </c>
      <c r="C364" s="324" t="s">
        <v>623</v>
      </c>
      <c r="D364" s="321" t="s">
        <v>463</v>
      </c>
      <c r="E364" s="188"/>
      <c r="F364" s="202" t="str">
        <f>_T180</f>
        <v>Having thoughts that don’t really seem to belong to you.</v>
      </c>
      <c r="G364" s="202"/>
      <c r="H364" s="202"/>
      <c r="I364" s="202"/>
      <c r="J364" s="202"/>
      <c r="K364" s="202"/>
      <c r="L364" s="202"/>
      <c r="M364" s="202"/>
      <c r="N364" s="202"/>
      <c r="O364" s="202"/>
      <c r="P364" s="202"/>
      <c r="Q364" s="203"/>
    </row>
    <row r="365" spans="2:17" ht="13.5" customHeight="1" x14ac:dyDescent="0.15">
      <c r="B365" s="368">
        <f>_Q188</f>
        <v>0</v>
      </c>
      <c r="C365" s="324" t="s">
        <v>513</v>
      </c>
      <c r="D365" s="321" t="s">
        <v>463</v>
      </c>
      <c r="E365" s="188"/>
      <c r="F365" s="202" t="str">
        <f>_T188</f>
        <v xml:space="preserve">Suddenly feeling very small, like a young child. </v>
      </c>
      <c r="G365" s="202"/>
      <c r="H365" s="202"/>
      <c r="I365" s="202"/>
      <c r="J365" s="202"/>
      <c r="K365" s="202"/>
      <c r="L365" s="202"/>
      <c r="M365" s="202"/>
      <c r="N365" s="202"/>
      <c r="O365" s="202"/>
      <c r="P365" s="202"/>
      <c r="Q365" s="203"/>
    </row>
    <row r="366" spans="2:17" ht="13.5" customHeight="1" x14ac:dyDescent="0.15">
      <c r="B366" s="368">
        <f>_Q191</f>
        <v>0</v>
      </c>
      <c r="C366" s="324" t="s">
        <v>637</v>
      </c>
      <c r="D366" s="321" t="s">
        <v>462</v>
      </c>
      <c r="E366" s="188"/>
      <c r="F366" s="202" t="str">
        <f>_T191</f>
        <v xml:space="preserve">Your body suddenly feeling as if it isn’t really yours.  </v>
      </c>
      <c r="G366" s="202"/>
      <c r="H366" s="202"/>
      <c r="I366" s="202"/>
      <c r="J366" s="202"/>
      <c r="K366" s="202"/>
      <c r="L366" s="202"/>
      <c r="M366" s="202"/>
      <c r="N366" s="202"/>
      <c r="O366" s="202"/>
      <c r="P366" s="202"/>
      <c r="Q366" s="203"/>
    </row>
    <row r="367" spans="2:17" ht="13.5" customHeight="1" x14ac:dyDescent="0.15">
      <c r="B367" s="368">
        <f>_Q197</f>
        <v>0</v>
      </c>
      <c r="C367" s="324" t="s">
        <v>638</v>
      </c>
      <c r="D367" s="321" t="s">
        <v>462</v>
      </c>
      <c r="E367" s="188"/>
      <c r="F367" s="202" t="str">
        <f>_T197</f>
        <v>Looking in the mirror and seeing someone other than yourself.</v>
      </c>
      <c r="G367" s="202"/>
      <c r="H367" s="202"/>
      <c r="I367" s="202"/>
      <c r="J367" s="202"/>
      <c r="K367" s="202"/>
      <c r="L367" s="202"/>
      <c r="M367" s="202"/>
      <c r="N367" s="202"/>
      <c r="O367" s="202"/>
      <c r="P367" s="202"/>
      <c r="Q367" s="203"/>
    </row>
    <row r="368" spans="2:17" ht="13.5" customHeight="1" x14ac:dyDescent="0.15">
      <c r="B368" s="368">
        <f>_Q200</f>
        <v>0</v>
      </c>
      <c r="C368" s="324" t="s">
        <v>639</v>
      </c>
      <c r="D368" s="321" t="s">
        <v>463</v>
      </c>
      <c r="E368" s="188"/>
      <c r="F368" s="202" t="str">
        <f>_T200</f>
        <v>People telling you that you sometimes act so differently that you seem like another person.</v>
      </c>
      <c r="G368" s="202"/>
      <c r="H368" s="202"/>
      <c r="I368" s="202"/>
      <c r="J368" s="202"/>
      <c r="K368" s="202"/>
      <c r="L368" s="202"/>
      <c r="M368" s="202"/>
      <c r="N368" s="202"/>
      <c r="O368" s="202"/>
      <c r="P368" s="202"/>
      <c r="Q368" s="203"/>
    </row>
    <row r="369" spans="2:17" ht="13.5" customHeight="1" x14ac:dyDescent="0.15">
      <c r="B369" s="368">
        <f>_Q201</f>
        <v>0</v>
      </c>
      <c r="C369" s="324" t="s">
        <v>640</v>
      </c>
      <c r="D369" s="321" t="s">
        <v>462</v>
      </c>
      <c r="E369" s="188"/>
      <c r="F369" s="202" t="str">
        <f>_T201</f>
        <v>Switching back and forth between feeling like a man and feeling like a woman.</v>
      </c>
      <c r="G369" s="202"/>
      <c r="H369" s="202"/>
      <c r="I369" s="202"/>
      <c r="J369" s="202"/>
      <c r="K369" s="202"/>
      <c r="L369" s="202"/>
      <c r="M369" s="202"/>
      <c r="N369" s="202"/>
      <c r="O369" s="202"/>
      <c r="P369" s="202"/>
      <c r="Q369" s="203"/>
    </row>
    <row r="370" spans="2:17" ht="13.5" customHeight="1" x14ac:dyDescent="0.15">
      <c r="B370" s="370">
        <f>_Q203</f>
        <v>0</v>
      </c>
      <c r="C370" s="334" t="s">
        <v>641</v>
      </c>
      <c r="D370" s="333" t="s">
        <v>462</v>
      </c>
      <c r="E370" s="188"/>
      <c r="F370" s="202" t="str">
        <f>_T203</f>
        <v>Feeling that your feet or hands (or other parts of your body) have changed in size.</v>
      </c>
      <c r="G370" s="202"/>
      <c r="H370" s="202"/>
      <c r="I370" s="202"/>
      <c r="J370" s="202"/>
      <c r="K370" s="202"/>
      <c r="L370" s="202"/>
      <c r="M370" s="202"/>
      <c r="N370" s="202"/>
      <c r="O370" s="202"/>
      <c r="P370" s="202"/>
      <c r="Q370" s="203"/>
    </row>
    <row r="371" spans="2:17" s="101" customFormat="1" ht="13.5" customHeight="1" x14ac:dyDescent="0.15">
      <c r="B371" s="436" t="s">
        <v>32</v>
      </c>
      <c r="C371" s="421"/>
      <c r="D371" s="421"/>
      <c r="E371" s="154"/>
      <c r="F371" s="154"/>
      <c r="G371" s="154"/>
      <c r="H371" s="154"/>
      <c r="I371" s="770" t="s">
        <v>692</v>
      </c>
      <c r="J371" s="771"/>
      <c r="K371" s="803" t="s">
        <v>717</v>
      </c>
      <c r="L371" s="804"/>
      <c r="M371" s="540">
        <f>Calculations!D184</f>
        <v>0</v>
      </c>
      <c r="N371" s="708" t="s">
        <v>718</v>
      </c>
      <c r="O371" s="709"/>
      <c r="P371" s="729">
        <f>Calculations!D185</f>
        <v>0</v>
      </c>
      <c r="Q371" s="730"/>
    </row>
    <row r="372" spans="2:17" ht="13.5" customHeight="1" x14ac:dyDescent="0.15">
      <c r="B372" s="367">
        <f>_Q17</f>
        <v>0</v>
      </c>
      <c r="C372" s="323" t="s">
        <v>632</v>
      </c>
      <c r="D372" s="320" t="s">
        <v>455</v>
      </c>
      <c r="E372" s="188"/>
      <c r="F372" s="202" t="str">
        <f>_T17</f>
        <v>Being puzzled by what you do or say.</v>
      </c>
      <c r="G372" s="202"/>
      <c r="H372" s="202"/>
      <c r="I372" s="202"/>
      <c r="J372" s="202"/>
      <c r="K372" s="202"/>
      <c r="L372" s="202"/>
      <c r="M372" s="202"/>
      <c r="N372" s="202"/>
      <c r="O372" s="202"/>
      <c r="P372" s="202"/>
      <c r="Q372" s="203"/>
    </row>
    <row r="373" spans="2:17" ht="13.5" customHeight="1" x14ac:dyDescent="0.15">
      <c r="B373" s="368">
        <f>_Q49</f>
        <v>0</v>
      </c>
      <c r="C373" s="324" t="s">
        <v>642</v>
      </c>
      <c r="D373" s="321" t="s">
        <v>455</v>
      </c>
      <c r="E373" s="188"/>
      <c r="F373" s="202" t="str">
        <f>_T49</f>
        <v xml:space="preserve">Feeling uncertain about who you really are. </v>
      </c>
      <c r="G373" s="202"/>
      <c r="H373" s="202"/>
      <c r="I373" s="202"/>
      <c r="J373" s="202"/>
      <c r="K373" s="202"/>
      <c r="L373" s="202"/>
      <c r="M373" s="202"/>
      <c r="N373" s="202"/>
      <c r="O373" s="202"/>
      <c r="P373" s="202"/>
      <c r="Q373" s="203"/>
    </row>
    <row r="374" spans="2:17" ht="13.5" customHeight="1" x14ac:dyDescent="0.15">
      <c r="B374" s="368">
        <f>_Q57</f>
        <v>0</v>
      </c>
      <c r="C374" s="324" t="s">
        <v>625</v>
      </c>
      <c r="D374" s="321" t="s">
        <v>455</v>
      </c>
      <c r="E374" s="188"/>
      <c r="F374" s="202" t="str">
        <f>_T57</f>
        <v xml:space="preserve">Your moods changing so rapidly that you don’t know what you are going to feel from one minute to the next.  </v>
      </c>
      <c r="G374" s="202"/>
      <c r="H374" s="202"/>
      <c r="I374" s="202"/>
      <c r="J374" s="202"/>
      <c r="K374" s="202"/>
      <c r="L374" s="202"/>
      <c r="M374" s="202"/>
      <c r="N374" s="202"/>
      <c r="O374" s="202"/>
      <c r="P374" s="202"/>
      <c r="Q374" s="203"/>
    </row>
    <row r="375" spans="2:17" ht="13.5" customHeight="1" x14ac:dyDescent="0.15">
      <c r="B375" s="368">
        <f>_Q89</f>
        <v>0</v>
      </c>
      <c r="C375" s="324" t="s">
        <v>643</v>
      </c>
      <c r="D375" s="321" t="s">
        <v>455</v>
      </c>
      <c r="E375" s="188"/>
      <c r="F375" s="202" t="str">
        <f>_T89</f>
        <v>Feeling very confused about who you really are.</v>
      </c>
      <c r="G375" s="202"/>
      <c r="H375" s="202"/>
      <c r="I375" s="202"/>
      <c r="J375" s="202"/>
      <c r="K375" s="202"/>
      <c r="L375" s="202"/>
      <c r="M375" s="202"/>
      <c r="N375" s="202"/>
      <c r="O375" s="202"/>
      <c r="P375" s="202"/>
      <c r="Q375" s="203"/>
    </row>
    <row r="376" spans="2:17" ht="13.5" customHeight="1" x14ac:dyDescent="0.15">
      <c r="B376" s="368">
        <f>_Q146</f>
        <v>0</v>
      </c>
      <c r="C376" s="324" t="s">
        <v>621</v>
      </c>
      <c r="D376" s="321" t="s">
        <v>455</v>
      </c>
      <c r="E376" s="188"/>
      <c r="F376" s="202" t="str">
        <f>_T146</f>
        <v xml:space="preserve">Your thoughts and feelings are so changeable that you don’t understand yourself. </v>
      </c>
      <c r="G376" s="202"/>
      <c r="H376" s="202"/>
      <c r="I376" s="202"/>
      <c r="J376" s="202"/>
      <c r="K376" s="202"/>
      <c r="L376" s="202"/>
      <c r="M376" s="202"/>
      <c r="N376" s="202"/>
      <c r="O376" s="202"/>
      <c r="P376" s="202"/>
      <c r="Q376" s="203"/>
    </row>
    <row r="377" spans="2:17" ht="13.5" customHeight="1" x14ac:dyDescent="0.15">
      <c r="B377" s="368">
        <f>_Q158</f>
        <v>0</v>
      </c>
      <c r="C377" s="324" t="s">
        <v>644</v>
      </c>
      <c r="D377" s="321" t="s">
        <v>471</v>
      </c>
      <c r="E377" s="188"/>
      <c r="F377" s="202" t="str">
        <f>_T158</f>
        <v>Feeling like you are not the same kind of person all the time.</v>
      </c>
      <c r="G377" s="202"/>
      <c r="H377" s="202"/>
      <c r="I377" s="202"/>
      <c r="J377" s="202"/>
      <c r="K377" s="202"/>
      <c r="L377" s="202"/>
      <c r="M377" s="202"/>
      <c r="N377" s="202"/>
      <c r="O377" s="202"/>
      <c r="P377" s="202"/>
      <c r="Q377" s="203"/>
    </row>
    <row r="378" spans="2:17" ht="13.5" customHeight="1" x14ac:dyDescent="0.15">
      <c r="B378" s="368">
        <f>_Q165</f>
        <v>0</v>
      </c>
      <c r="C378" s="324" t="s">
        <v>645</v>
      </c>
      <c r="D378" s="321" t="s">
        <v>471</v>
      </c>
      <c r="E378" s="188"/>
      <c r="F378" s="202" t="str">
        <f>_T165</f>
        <v>Wishing you knew why you feel and behave the way you do.</v>
      </c>
      <c r="G378" s="202"/>
      <c r="H378" s="202"/>
      <c r="I378" s="202"/>
      <c r="J378" s="202"/>
      <c r="K378" s="202"/>
      <c r="L378" s="202"/>
      <c r="M378" s="202"/>
      <c r="N378" s="202"/>
      <c r="O378" s="202"/>
      <c r="P378" s="202"/>
      <c r="Q378" s="203"/>
    </row>
    <row r="379" spans="2:17" ht="14" thickBot="1" x14ac:dyDescent="0.2">
      <c r="B379" s="369">
        <f>_Q193</f>
        <v>0</v>
      </c>
      <c r="C379" s="325" t="s">
        <v>628</v>
      </c>
      <c r="D379" s="322" t="s">
        <v>455</v>
      </c>
      <c r="E379" s="96"/>
      <c r="F379" s="205" t="str">
        <f>_T193</f>
        <v>Being confused or puzzled by your emotions.</v>
      </c>
      <c r="G379" s="205"/>
      <c r="H379" s="205"/>
      <c r="I379" s="205"/>
      <c r="J379" s="205"/>
      <c r="K379" s="205"/>
      <c r="L379" s="205"/>
      <c r="M379" s="205"/>
      <c r="N379" s="205"/>
      <c r="O379" s="205"/>
      <c r="P379" s="205"/>
      <c r="Q379" s="208"/>
    </row>
    <row r="380" spans="2:17" ht="10" customHeight="1" thickBot="1" x14ac:dyDescent="0.2">
      <c r="B380" s="48"/>
      <c r="C380" s="48"/>
      <c r="D380" s="48"/>
      <c r="F380" s="101"/>
      <c r="G380" s="101"/>
      <c r="H380" s="101"/>
      <c r="I380" s="101"/>
      <c r="J380" s="101"/>
      <c r="K380" s="101"/>
      <c r="L380" s="101"/>
      <c r="M380" s="101"/>
      <c r="N380" s="101"/>
      <c r="O380" s="101"/>
      <c r="P380" s="101"/>
      <c r="Q380" s="101"/>
    </row>
    <row r="381" spans="2:17" ht="16" customHeight="1" thickBot="1" x14ac:dyDescent="0.2">
      <c r="B381" s="1033" t="s">
        <v>857</v>
      </c>
      <c r="C381" s="1034"/>
      <c r="D381" s="1034"/>
      <c r="E381" s="1034"/>
      <c r="F381" s="1034"/>
      <c r="G381" s="1034"/>
      <c r="H381" s="1034"/>
      <c r="I381" s="1034"/>
      <c r="J381" s="1034"/>
      <c r="K381" s="1034"/>
      <c r="L381" s="1034"/>
      <c r="M381" s="1034"/>
      <c r="N381" s="1034"/>
      <c r="O381" s="1034"/>
      <c r="P381" s="1034"/>
      <c r="Q381" s="1035"/>
    </row>
    <row r="382" spans="2:17" s="101" customFormat="1" ht="13.5" customHeight="1" x14ac:dyDescent="0.15">
      <c r="B382" s="551" t="s">
        <v>33</v>
      </c>
      <c r="C382" s="552"/>
      <c r="D382" s="552"/>
      <c r="E382" s="215"/>
      <c r="F382" s="215"/>
      <c r="G382" s="215"/>
      <c r="H382" s="215"/>
      <c r="I382" s="1063" t="s">
        <v>693</v>
      </c>
      <c r="J382" s="1064"/>
      <c r="K382" s="856" t="s">
        <v>717</v>
      </c>
      <c r="L382" s="857"/>
      <c r="M382" s="538">
        <f>Calculations!D192</f>
        <v>0</v>
      </c>
      <c r="N382" s="722" t="s">
        <v>718</v>
      </c>
      <c r="O382" s="723"/>
      <c r="P382" s="860">
        <f>Calculations!D193</f>
        <v>0</v>
      </c>
      <c r="Q382" s="861"/>
    </row>
    <row r="383" spans="2:17" ht="13.5" customHeight="1" x14ac:dyDescent="0.15">
      <c r="B383" s="353">
        <f>_Q23</f>
        <v>0</v>
      </c>
      <c r="C383" s="313" t="s">
        <v>589</v>
      </c>
      <c r="D383" s="310" t="s">
        <v>455</v>
      </c>
      <c r="E383" s="157"/>
      <c r="F383" s="202" t="str">
        <f>_T23</f>
        <v>Having blank spells or blackouts in your memory.</v>
      </c>
      <c r="G383" s="202"/>
      <c r="H383" s="202"/>
      <c r="I383" s="202"/>
      <c r="J383" s="202"/>
      <c r="K383" s="202"/>
      <c r="L383" s="202"/>
      <c r="M383" s="202"/>
      <c r="N383" s="202"/>
      <c r="O383" s="202"/>
      <c r="P383" s="202"/>
      <c r="Q383" s="203"/>
    </row>
    <row r="384" spans="2:17" ht="13.5" customHeight="1" x14ac:dyDescent="0.15">
      <c r="B384" s="354">
        <f>_Q31</f>
        <v>0</v>
      </c>
      <c r="C384" s="314" t="s">
        <v>590</v>
      </c>
      <c r="D384" s="311" t="s">
        <v>455</v>
      </c>
      <c r="E384" s="157"/>
      <c r="F384" s="202" t="str">
        <f>_T31</f>
        <v xml:space="preserve">‘Losing’ a chunk of time and having a total blank for it. </v>
      </c>
      <c r="G384" s="202"/>
      <c r="H384" s="202"/>
      <c r="I384" s="202"/>
      <c r="J384" s="202"/>
      <c r="K384" s="202"/>
      <c r="L384" s="202"/>
      <c r="M384" s="202"/>
      <c r="N384" s="202"/>
      <c r="O384" s="202"/>
      <c r="P384" s="202"/>
      <c r="Q384" s="203"/>
    </row>
    <row r="385" spans="2:17" ht="13.5" customHeight="1" x14ac:dyDescent="0.15">
      <c r="B385" s="354">
        <f>_Q85</f>
        <v>0</v>
      </c>
      <c r="C385" s="314" t="s">
        <v>591</v>
      </c>
      <c r="D385" s="311" t="s">
        <v>455</v>
      </c>
      <c r="E385" s="157"/>
      <c r="F385" s="202" t="str">
        <f>_T85</f>
        <v xml:space="preserve">When something upsetting happens, you go blank and lose a chunk of time.  </v>
      </c>
      <c r="G385" s="202"/>
      <c r="H385" s="202"/>
      <c r="I385" s="202"/>
      <c r="J385" s="202"/>
      <c r="K385" s="202"/>
      <c r="L385" s="202"/>
      <c r="M385" s="202"/>
      <c r="N385" s="202"/>
      <c r="O385" s="202"/>
      <c r="P385" s="202"/>
      <c r="Q385" s="203"/>
    </row>
    <row r="386" spans="2:17" ht="13.5" customHeight="1" x14ac:dyDescent="0.15">
      <c r="B386" s="366">
        <f>_Q141</f>
        <v>0</v>
      </c>
      <c r="C386" s="315" t="s">
        <v>592</v>
      </c>
      <c r="D386" s="312" t="s">
        <v>463</v>
      </c>
      <c r="E386" s="157"/>
      <c r="F386" s="202" t="str">
        <f>_T141</f>
        <v>Suddenly realizing that hours have gone by and not knowing what you were doing during that time.</v>
      </c>
      <c r="G386" s="202"/>
      <c r="H386" s="209"/>
      <c r="I386" s="209"/>
      <c r="J386" s="209"/>
      <c r="K386" s="202"/>
      <c r="L386" s="202"/>
      <c r="M386" s="202"/>
      <c r="N386" s="202"/>
      <c r="O386" s="202"/>
      <c r="P386" s="202"/>
      <c r="Q386" s="203"/>
    </row>
    <row r="387" spans="2:17" s="101" customFormat="1" ht="13" customHeight="1" x14ac:dyDescent="0.15">
      <c r="B387" s="553" t="s">
        <v>34</v>
      </c>
      <c r="C387" s="554"/>
      <c r="D387" s="554"/>
      <c r="E387" s="216"/>
      <c r="F387" s="216"/>
      <c r="G387" s="216"/>
      <c r="H387" s="217"/>
      <c r="I387" s="1065" t="s">
        <v>693</v>
      </c>
      <c r="J387" s="1066"/>
      <c r="K387" s="803" t="s">
        <v>717</v>
      </c>
      <c r="L387" s="804"/>
      <c r="M387" s="540">
        <f>Calculations!D196</f>
        <v>0</v>
      </c>
      <c r="N387" s="708" t="s">
        <v>718</v>
      </c>
      <c r="O387" s="709"/>
      <c r="P387" s="729">
        <f>Calculations!D197</f>
        <v>0</v>
      </c>
      <c r="Q387" s="730"/>
    </row>
    <row r="388" spans="2:17" ht="27" customHeight="1" x14ac:dyDescent="0.15">
      <c r="B388" s="363">
        <f>_Q50</f>
        <v>0</v>
      </c>
      <c r="C388" s="360" t="s">
        <v>646</v>
      </c>
      <c r="D388" s="357" t="s">
        <v>463</v>
      </c>
      <c r="E388" s="140"/>
      <c r="F388" s="737" t="str">
        <f>_T50</f>
        <v>‘Coming to’ in the middle of a conversation with someone and having no idea what you and that person have been talking about---you didn’t even know that you were having a conversation.</v>
      </c>
      <c r="G388" s="737"/>
      <c r="H388" s="737"/>
      <c r="I388" s="737"/>
      <c r="J388" s="737"/>
      <c r="K388" s="737"/>
      <c r="L388" s="737"/>
      <c r="M388" s="737"/>
      <c r="N388" s="737"/>
      <c r="O388" s="737"/>
      <c r="P388" s="737"/>
      <c r="Q388" s="210"/>
    </row>
    <row r="389" spans="2:17" ht="27" customHeight="1" x14ac:dyDescent="0.15">
      <c r="B389" s="364">
        <f>_Q74</f>
        <v>0</v>
      </c>
      <c r="C389" s="361" t="s">
        <v>647</v>
      </c>
      <c r="D389" s="358" t="s">
        <v>463</v>
      </c>
      <c r="E389" s="141"/>
      <c r="F389" s="738" t="str">
        <f>_T74</f>
        <v>Suddenly ‘waking up’ in the middle of doing something (that you were completely unaware you were doing) (for example, vacuuming the carpet, cooking dinner, spanking the children, driving the car, etc.).</v>
      </c>
      <c r="G389" s="738"/>
      <c r="H389" s="738"/>
      <c r="I389" s="738"/>
      <c r="J389" s="738"/>
      <c r="K389" s="738"/>
      <c r="L389" s="738"/>
      <c r="M389" s="738"/>
      <c r="N389" s="738"/>
      <c r="O389" s="738"/>
      <c r="P389" s="738"/>
      <c r="Q389" s="186"/>
    </row>
    <row r="390" spans="2:17" ht="27" customHeight="1" x14ac:dyDescent="0.15">
      <c r="B390" s="364">
        <f>_Q179</f>
        <v>0</v>
      </c>
      <c r="C390" s="361" t="s">
        <v>648</v>
      </c>
      <c r="D390" s="358" t="s">
        <v>462</v>
      </c>
      <c r="E390" s="140"/>
      <c r="F390" s="738" t="str">
        <f>_T179</f>
        <v xml:space="preserve">‘Coming to’ and finding that you have done something you don’t remember doing (for example, smashed something, cut yourself, cleaned the whole house, etc.). </v>
      </c>
      <c r="G390" s="738"/>
      <c r="H390" s="738"/>
      <c r="I390" s="738"/>
      <c r="J390" s="738"/>
      <c r="K390" s="738"/>
      <c r="L390" s="738"/>
      <c r="M390" s="738"/>
      <c r="N390" s="738"/>
      <c r="O390" s="738"/>
      <c r="P390" s="738"/>
      <c r="Q390" s="186"/>
    </row>
    <row r="391" spans="2:17" ht="13.5" customHeight="1" x14ac:dyDescent="0.15">
      <c r="B391" s="365">
        <f>_Q204</f>
        <v>0</v>
      </c>
      <c r="C391" s="362" t="s">
        <v>649</v>
      </c>
      <c r="D391" s="359" t="s">
        <v>462</v>
      </c>
      <c r="E391" s="141"/>
      <c r="F391" s="735" t="str">
        <f>_T204</f>
        <v xml:space="preserve">There were times when you ‘came to’ and found pills or a razor blade (or something else to hurt yourself with) in your hand.  </v>
      </c>
      <c r="G391" s="735"/>
      <c r="H391" s="735"/>
      <c r="I391" s="735"/>
      <c r="J391" s="735"/>
      <c r="K391" s="735"/>
      <c r="L391" s="735"/>
      <c r="M391" s="735"/>
      <c r="N391" s="735"/>
      <c r="O391" s="735"/>
      <c r="P391" s="735"/>
      <c r="Q391" s="736"/>
    </row>
    <row r="392" spans="2:17" s="101" customFormat="1" ht="13.5" customHeight="1" x14ac:dyDescent="0.15">
      <c r="B392" s="553" t="s">
        <v>35</v>
      </c>
      <c r="C392" s="554"/>
      <c r="D392" s="554"/>
      <c r="E392" s="216"/>
      <c r="F392" s="217"/>
      <c r="G392" s="217"/>
      <c r="H392" s="217"/>
      <c r="I392" s="776" t="s">
        <v>693</v>
      </c>
      <c r="J392" s="777"/>
      <c r="K392" s="803" t="s">
        <v>717</v>
      </c>
      <c r="L392" s="804"/>
      <c r="M392" s="555">
        <f>Calculations!D200</f>
        <v>0</v>
      </c>
      <c r="N392" s="706" t="s">
        <v>718</v>
      </c>
      <c r="O392" s="707"/>
      <c r="P392" s="778">
        <f>Calculations!D201</f>
        <v>0</v>
      </c>
      <c r="Q392" s="779"/>
    </row>
    <row r="393" spans="2:17" s="101" customFormat="1" ht="13.5" customHeight="1" x14ac:dyDescent="0.15">
      <c r="B393" s="353">
        <f>_Q64</f>
        <v>0</v>
      </c>
      <c r="C393" s="313" t="s">
        <v>593</v>
      </c>
      <c r="D393" s="310" t="s">
        <v>463</v>
      </c>
      <c r="E393" s="157"/>
      <c r="F393" s="202" t="str">
        <f>_T64</f>
        <v>Finding yourself lying in bed (on the sofa, etc.) with no memory of how you got there.</v>
      </c>
      <c r="G393" s="202"/>
      <c r="H393" s="202"/>
      <c r="I393" s="202"/>
      <c r="J393" s="202"/>
      <c r="K393" s="202"/>
      <c r="L393" s="202"/>
      <c r="M393" s="202"/>
      <c r="N393" s="202"/>
      <c r="O393" s="202"/>
      <c r="P393" s="202"/>
      <c r="Q393" s="194"/>
    </row>
    <row r="394" spans="2:17" s="101" customFormat="1" ht="13.5" customHeight="1" x14ac:dyDescent="0.15">
      <c r="B394" s="354">
        <f>_Q86</f>
        <v>0</v>
      </c>
      <c r="C394" s="314" t="s">
        <v>594</v>
      </c>
      <c r="D394" s="311" t="s">
        <v>462</v>
      </c>
      <c r="E394" s="157"/>
      <c r="F394" s="202" t="str">
        <f>_T86</f>
        <v>After a nightmare, you wake up and find yourself not in bed (for example, on the floor, in the closet, etc.).</v>
      </c>
      <c r="G394" s="202"/>
      <c r="H394" s="202"/>
      <c r="I394" s="202"/>
      <c r="J394" s="202"/>
      <c r="K394" s="202"/>
      <c r="L394" s="202"/>
      <c r="M394" s="202"/>
      <c r="N394" s="202"/>
      <c r="O394" s="202"/>
      <c r="P394" s="202"/>
      <c r="Q394" s="194"/>
    </row>
    <row r="395" spans="2:17" s="101" customFormat="1" ht="13" customHeight="1" x14ac:dyDescent="0.15">
      <c r="B395" s="354">
        <f>_Q119</f>
        <v>0</v>
      </c>
      <c r="C395" s="314" t="s">
        <v>595</v>
      </c>
      <c r="D395" s="311" t="s">
        <v>463</v>
      </c>
      <c r="E395" s="157"/>
      <c r="F395" s="813" t="str">
        <f>_T119</f>
        <v>Suddenly finding yourself standing someplace and you can’t remember what you have been doing before that.</v>
      </c>
      <c r="G395" s="813"/>
      <c r="H395" s="813"/>
      <c r="I395" s="813"/>
      <c r="J395" s="813"/>
      <c r="K395" s="813"/>
      <c r="L395" s="813"/>
      <c r="M395" s="813"/>
      <c r="N395" s="813"/>
      <c r="O395" s="813"/>
      <c r="P395" s="813"/>
      <c r="Q395" s="194"/>
    </row>
    <row r="396" spans="2:17" ht="26" customHeight="1" x14ac:dyDescent="0.15">
      <c r="B396" s="355">
        <f>_Q160</f>
        <v>0</v>
      </c>
      <c r="C396" s="342" t="s">
        <v>650</v>
      </c>
      <c r="D396" s="339" t="s">
        <v>462</v>
      </c>
      <c r="E396" s="140"/>
      <c r="F396" s="738" t="str">
        <f>_T160</f>
        <v xml:space="preserve">Suddenly finding yourself somewhere odd at home (for example, inside the closet, under a bed, curled up on the floor, etc.) with no knowledge of how you got there.  </v>
      </c>
      <c r="G396" s="738"/>
      <c r="H396" s="738"/>
      <c r="I396" s="738"/>
      <c r="J396" s="738"/>
      <c r="K396" s="738"/>
      <c r="L396" s="738"/>
      <c r="M396" s="738"/>
      <c r="N396" s="738"/>
      <c r="O396" s="738"/>
      <c r="P396" s="738"/>
      <c r="Q396" s="195"/>
    </row>
    <row r="397" spans="2:17" ht="26" customHeight="1" x14ac:dyDescent="0.15">
      <c r="B397" s="356">
        <f>_Q173</f>
        <v>0</v>
      </c>
      <c r="C397" s="348" t="s">
        <v>651</v>
      </c>
      <c r="D397" s="347" t="s">
        <v>462</v>
      </c>
      <c r="E397" s="140"/>
      <c r="F397" s="735" t="str">
        <f>_T173</f>
        <v xml:space="preserve">Suddenly finding yourself somewhere (for example, at the beach, at work, in a nightclub, in your car, etc.) with no memory of how you got there. </v>
      </c>
      <c r="G397" s="735"/>
      <c r="H397" s="735"/>
      <c r="I397" s="735"/>
      <c r="J397" s="735"/>
      <c r="K397" s="735"/>
      <c r="L397" s="735"/>
      <c r="M397" s="735"/>
      <c r="N397" s="735"/>
      <c r="O397" s="735"/>
      <c r="P397" s="735"/>
      <c r="Q397" s="199"/>
    </row>
    <row r="398" spans="2:17" s="101" customFormat="1" ht="13.5" customHeight="1" x14ac:dyDescent="0.15">
      <c r="B398" s="556" t="s">
        <v>70</v>
      </c>
      <c r="C398" s="557"/>
      <c r="D398" s="557"/>
      <c r="E398" s="216"/>
      <c r="F398" s="217"/>
      <c r="G398" s="217"/>
      <c r="H398" s="217"/>
      <c r="I398" s="776" t="s">
        <v>693</v>
      </c>
      <c r="J398" s="777"/>
      <c r="K398" s="803" t="s">
        <v>717</v>
      </c>
      <c r="L398" s="804"/>
      <c r="M398" s="555">
        <f>Calculations!D205</f>
        <v>0</v>
      </c>
      <c r="N398" s="706" t="s">
        <v>718</v>
      </c>
      <c r="O398" s="707"/>
      <c r="P398" s="778">
        <f>Calculations!D206</f>
        <v>0</v>
      </c>
      <c r="Q398" s="779"/>
    </row>
    <row r="399" spans="2:17" ht="13" customHeight="1" x14ac:dyDescent="0.15">
      <c r="B399" s="326">
        <f>_Q19</f>
        <v>0</v>
      </c>
      <c r="C399" s="329" t="s">
        <v>596</v>
      </c>
      <c r="D399" s="331" t="s">
        <v>455</v>
      </c>
      <c r="E399" s="43"/>
      <c r="F399" s="101" t="str">
        <f>_T19</f>
        <v xml:space="preserve">Being told of things that you had recently done, but with absolutely no memory of having done those things. </v>
      </c>
      <c r="G399" s="101"/>
      <c r="H399" s="101"/>
      <c r="I399" s="101"/>
      <c r="J399" s="101"/>
      <c r="K399" s="101"/>
      <c r="L399" s="101"/>
      <c r="M399" s="101"/>
      <c r="N399" s="101"/>
      <c r="O399" s="101"/>
      <c r="P399" s="101"/>
      <c r="Q399" s="102"/>
    </row>
    <row r="400" spans="2:17" ht="26" customHeight="1" x14ac:dyDescent="0.15">
      <c r="B400" s="280">
        <f>_Q53</f>
        <v>0</v>
      </c>
      <c r="C400" s="292" t="s">
        <v>652</v>
      </c>
      <c r="D400" s="295" t="s">
        <v>462</v>
      </c>
      <c r="E400" s="45"/>
      <c r="F400" s="739" t="str">
        <f>_T53</f>
        <v>Being told that there were times when you did not recognize friends or family members (for example, asking your spouse or friend, “Who are you?”).</v>
      </c>
      <c r="G400" s="739"/>
      <c r="H400" s="739"/>
      <c r="I400" s="739"/>
      <c r="J400" s="739"/>
      <c r="K400" s="739"/>
      <c r="L400" s="739"/>
      <c r="M400" s="739"/>
      <c r="N400" s="739"/>
      <c r="O400" s="739"/>
      <c r="P400" s="739"/>
      <c r="Q400" s="104"/>
    </row>
    <row r="401" spans="2:17" ht="13" customHeight="1" x14ac:dyDescent="0.15">
      <c r="B401" s="317">
        <f>_Q129</f>
        <v>0</v>
      </c>
      <c r="C401" s="318" t="s">
        <v>597</v>
      </c>
      <c r="D401" s="319" t="s">
        <v>463</v>
      </c>
      <c r="E401" s="43"/>
      <c r="F401" s="101" t="str">
        <f>_T129</f>
        <v>When you are angry, doing or saying things that you don’t remember (after you calm down).</v>
      </c>
      <c r="G401" s="101"/>
      <c r="H401" s="101"/>
      <c r="I401" s="101"/>
      <c r="J401" s="101"/>
      <c r="K401" s="101"/>
      <c r="L401" s="101"/>
      <c r="M401" s="101"/>
      <c r="N401" s="101"/>
      <c r="O401" s="101"/>
      <c r="P401" s="101"/>
      <c r="Q401" s="102"/>
    </row>
    <row r="402" spans="2:17" s="101" customFormat="1" ht="26" customHeight="1" x14ac:dyDescent="0.15">
      <c r="B402" s="281">
        <f>_Q152</f>
        <v>0</v>
      </c>
      <c r="C402" s="293" t="s">
        <v>653</v>
      </c>
      <c r="D402" s="296" t="s">
        <v>463</v>
      </c>
      <c r="E402" s="45"/>
      <c r="F402" s="851" t="str">
        <f>_T152</f>
        <v xml:space="preserve">Being told about things that you did---that you don’t remember doing and would never do (for example, swearing like a sailor, being very mad, acting like a young child, or being very sexual).  </v>
      </c>
      <c r="G402" s="851"/>
      <c r="H402" s="851"/>
      <c r="I402" s="851"/>
      <c r="J402" s="851"/>
      <c r="K402" s="851"/>
      <c r="L402" s="851"/>
      <c r="M402" s="851"/>
      <c r="N402" s="851"/>
      <c r="O402" s="851"/>
      <c r="P402" s="851"/>
      <c r="Q402" s="159"/>
    </row>
    <row r="403" spans="2:17" s="101" customFormat="1" ht="13.5" customHeight="1" x14ac:dyDescent="0.15">
      <c r="B403" s="553" t="s">
        <v>53</v>
      </c>
      <c r="C403" s="554"/>
      <c r="D403" s="554"/>
      <c r="E403" s="216"/>
      <c r="F403" s="217"/>
      <c r="G403" s="217"/>
      <c r="H403" s="217"/>
      <c r="I403" s="776" t="s">
        <v>693</v>
      </c>
      <c r="J403" s="777"/>
      <c r="K403" s="803" t="s">
        <v>717</v>
      </c>
      <c r="L403" s="804"/>
      <c r="M403" s="555">
        <f>Calculations!D209</f>
        <v>0</v>
      </c>
      <c r="N403" s="706" t="s">
        <v>718</v>
      </c>
      <c r="O403" s="707"/>
      <c r="P403" s="778">
        <f>Calculations!D210</f>
        <v>0</v>
      </c>
      <c r="Q403" s="730"/>
    </row>
    <row r="404" spans="2:17" s="101" customFormat="1" ht="13.5" customHeight="1" x14ac:dyDescent="0.15">
      <c r="B404" s="304">
        <f>_Q43</f>
        <v>0</v>
      </c>
      <c r="C404" s="313" t="s">
        <v>598</v>
      </c>
      <c r="D404" s="310" t="s">
        <v>463</v>
      </c>
      <c r="E404" s="100"/>
      <c r="F404" s="101" t="str">
        <f>_T43</f>
        <v>Finding things at home (for example, shoes, clothes, toys, toilet articles, etc.), that you don’t remember buying.</v>
      </c>
      <c r="Q404" s="102"/>
    </row>
    <row r="405" spans="2:17" s="101" customFormat="1" ht="13.5" customHeight="1" x14ac:dyDescent="0.15">
      <c r="B405" s="286">
        <f>_Q76</f>
        <v>0</v>
      </c>
      <c r="C405" s="314" t="s">
        <v>599</v>
      </c>
      <c r="D405" s="311" t="s">
        <v>463</v>
      </c>
      <c r="E405" s="100"/>
      <c r="F405" s="101" t="str">
        <f>_T76</f>
        <v>Finding things in your shopping bags, which you don’t remember buying.</v>
      </c>
      <c r="Q405" s="102"/>
    </row>
    <row r="406" spans="2:17" s="101" customFormat="1" ht="13.5" customHeight="1" x14ac:dyDescent="0.15">
      <c r="B406" s="286">
        <f>_Q187</f>
        <v>0</v>
      </c>
      <c r="C406" s="314" t="s">
        <v>600</v>
      </c>
      <c r="D406" s="311" t="s">
        <v>463</v>
      </c>
      <c r="E406" s="100"/>
      <c r="F406" s="101" t="str">
        <f>_T187</f>
        <v>Finding things that you must have written (or drawn), but with no memory of having done so.</v>
      </c>
      <c r="Q406" s="102"/>
    </row>
    <row r="407" spans="2:17" s="101" customFormat="1" ht="13.5" customHeight="1" x14ac:dyDescent="0.15">
      <c r="B407" s="316">
        <f>_Q205</f>
        <v>0</v>
      </c>
      <c r="C407" s="315" t="s">
        <v>601</v>
      </c>
      <c r="D407" s="312" t="s">
        <v>462</v>
      </c>
      <c r="E407" s="100"/>
      <c r="F407" s="101" t="str">
        <f>_T205</f>
        <v xml:space="preserve">Finding writings at your home in handwriting that you don’t recognize.  </v>
      </c>
      <c r="H407" s="193"/>
      <c r="I407" s="193"/>
      <c r="J407" s="193"/>
      <c r="Q407" s="102"/>
    </row>
    <row r="408" spans="2:17" s="101" customFormat="1" ht="13" customHeight="1" x14ac:dyDescent="0.15">
      <c r="B408" s="553" t="s">
        <v>54</v>
      </c>
      <c r="C408" s="554"/>
      <c r="D408" s="554"/>
      <c r="E408" s="216"/>
      <c r="F408" s="216"/>
      <c r="G408" s="216"/>
      <c r="H408" s="217"/>
      <c r="I408" s="776" t="s">
        <v>693</v>
      </c>
      <c r="J408" s="777"/>
      <c r="K408" s="803" t="s">
        <v>717</v>
      </c>
      <c r="L408" s="804"/>
      <c r="M408" s="540">
        <f>Calculations!D213</f>
        <v>0</v>
      </c>
      <c r="N408" s="708" t="s">
        <v>718</v>
      </c>
      <c r="O408" s="709"/>
      <c r="P408" s="729">
        <f>Calculations!D214</f>
        <v>0</v>
      </c>
      <c r="Q408" s="730"/>
    </row>
    <row r="409" spans="2:17" ht="26" customHeight="1" x14ac:dyDescent="0.15">
      <c r="B409" s="279">
        <f>_Q108</f>
        <v>0</v>
      </c>
      <c r="C409" s="341" t="s">
        <v>654</v>
      </c>
      <c r="D409" s="338" t="s">
        <v>463</v>
      </c>
      <c r="E409" s="45"/>
      <c r="F409" s="787" t="str">
        <f>_T108</f>
        <v>Finding something that has been done (for example, the lawn mowed, the kitchen painted, a task at work completed, etc.), that you don’t remember doing---but knowing that you must be the one who did it.</v>
      </c>
      <c r="G409" s="787"/>
      <c r="H409" s="787"/>
      <c r="I409" s="787"/>
      <c r="J409" s="787"/>
      <c r="K409" s="787"/>
      <c r="L409" s="787"/>
      <c r="M409" s="787"/>
      <c r="N409" s="787"/>
      <c r="O409" s="787"/>
      <c r="P409" s="415"/>
      <c r="Q409" s="104"/>
    </row>
    <row r="410" spans="2:17" ht="26" customHeight="1" x14ac:dyDescent="0.15">
      <c r="B410" s="280">
        <f>_Q150</f>
        <v>0</v>
      </c>
      <c r="C410" s="342" t="s">
        <v>636</v>
      </c>
      <c r="D410" s="339" t="s">
        <v>462</v>
      </c>
      <c r="E410" s="45"/>
      <c r="F410" s="739" t="str">
        <f>_T150</f>
        <v>Discovering that you have changed your appearance (for example, cut your hair, or changed  your hairstyle, or changed what you are wearing, or put on cosmetics, etc.) with no memory of having done so.</v>
      </c>
      <c r="G410" s="739"/>
      <c r="H410" s="739"/>
      <c r="I410" s="739"/>
      <c r="J410" s="739"/>
      <c r="K410" s="739"/>
      <c r="L410" s="739"/>
      <c r="M410" s="739"/>
      <c r="N410" s="739"/>
      <c r="O410" s="739"/>
      <c r="P410" s="739"/>
      <c r="Q410" s="104"/>
    </row>
    <row r="411" spans="2:17" ht="26" customHeight="1" x14ac:dyDescent="0.15">
      <c r="B411" s="280">
        <f>_Q170</f>
        <v>0</v>
      </c>
      <c r="C411" s="342" t="s">
        <v>655</v>
      </c>
      <c r="D411" s="339" t="s">
        <v>463</v>
      </c>
      <c r="E411" s="45"/>
      <c r="F411" s="739" t="str">
        <f>_T170</f>
        <v>Discovering that you have a significant injury (for example, a cut, or a burn, or many bruises), and having no memory of how it happened.</v>
      </c>
      <c r="G411" s="739"/>
      <c r="H411" s="739"/>
      <c r="I411" s="739"/>
      <c r="J411" s="739"/>
      <c r="K411" s="739"/>
      <c r="L411" s="739"/>
      <c r="M411" s="739"/>
      <c r="N411" s="739"/>
      <c r="O411" s="739"/>
      <c r="P411" s="739"/>
      <c r="Q411" s="104"/>
    </row>
    <row r="412" spans="2:17" ht="13.5" customHeight="1" x14ac:dyDescent="0.15">
      <c r="B412" s="317">
        <f>_Q186</f>
        <v>0</v>
      </c>
      <c r="C412" s="314" t="s">
        <v>602</v>
      </c>
      <c r="D412" s="321" t="s">
        <v>462</v>
      </c>
      <c r="E412" s="43"/>
      <c r="F412" s="101" t="str">
        <f>_T186</f>
        <v>Discovering that you have attempted suicide, but having no memory of having done it.</v>
      </c>
      <c r="G412" s="101"/>
      <c r="H412" s="101"/>
      <c r="I412" s="101"/>
      <c r="J412" s="101"/>
      <c r="K412" s="101"/>
      <c r="L412" s="101"/>
      <c r="M412" s="101"/>
      <c r="N412" s="101"/>
      <c r="O412" s="101"/>
      <c r="P412" s="101"/>
      <c r="Q412" s="102"/>
    </row>
    <row r="413" spans="2:17" ht="13.5" customHeight="1" thickBot="1" x14ac:dyDescent="0.2">
      <c r="B413" s="305">
        <f>_Q217</f>
        <v>0</v>
      </c>
      <c r="C413" s="352" t="s">
        <v>603</v>
      </c>
      <c r="D413" s="322" t="s">
        <v>463</v>
      </c>
      <c r="E413" s="89"/>
      <c r="F413" s="95" t="str">
        <f>_T217</f>
        <v xml:space="preserve">Things in your home disappear or get moved around (and you don’t know how this is happening). </v>
      </c>
      <c r="G413" s="95"/>
      <c r="H413" s="95"/>
      <c r="I413" s="95"/>
      <c r="J413" s="95"/>
      <c r="K413" s="95"/>
      <c r="L413" s="95"/>
      <c r="M413" s="95"/>
      <c r="N413" s="95"/>
      <c r="O413" s="95"/>
      <c r="P413" s="95"/>
      <c r="Q413" s="105"/>
    </row>
    <row r="414" spans="2:17" ht="13.5" customHeight="1" x14ac:dyDescent="0.15">
      <c r="B414" s="114"/>
      <c r="C414" s="650"/>
      <c r="D414" s="651"/>
      <c r="E414" s="43"/>
      <c r="F414" s="101"/>
      <c r="G414" s="101"/>
      <c r="H414" s="101"/>
      <c r="I414" s="101"/>
      <c r="J414" s="101"/>
      <c r="K414" s="101"/>
      <c r="L414" s="101"/>
      <c r="M414" s="101"/>
      <c r="N414" s="101"/>
      <c r="O414" s="101"/>
      <c r="P414" s="101"/>
      <c r="Q414" s="101"/>
    </row>
    <row r="415" spans="2:17" ht="12" customHeight="1" thickBot="1" x14ac:dyDescent="0.2">
      <c r="B415" s="44"/>
      <c r="C415" s="44"/>
      <c r="D415" s="44"/>
      <c r="E415" s="43"/>
    </row>
    <row r="416" spans="2:17" ht="16" customHeight="1" thickBot="1" x14ac:dyDescent="0.2">
      <c r="B416" s="780" t="s">
        <v>722</v>
      </c>
      <c r="C416" s="781"/>
      <c r="D416" s="781"/>
      <c r="E416" s="781"/>
      <c r="F416" s="781"/>
      <c r="G416" s="781"/>
      <c r="H416" s="781"/>
      <c r="I416" s="781"/>
      <c r="J416" s="781"/>
      <c r="K416" s="781"/>
      <c r="L416" s="781"/>
      <c r="M416" s="781"/>
      <c r="N416" s="781"/>
      <c r="O416" s="781"/>
      <c r="P416" s="781"/>
      <c r="Q416" s="782"/>
    </row>
    <row r="417" spans="2:17" s="101" customFormat="1" ht="13.5" customHeight="1" x14ac:dyDescent="0.15">
      <c r="B417" s="196" t="s">
        <v>394</v>
      </c>
      <c r="C417" s="197"/>
      <c r="D417" s="197"/>
      <c r="E417" s="435"/>
      <c r="F417" s="435"/>
      <c r="G417" s="435"/>
      <c r="H417" s="435"/>
      <c r="I417" s="435"/>
      <c r="J417" s="435"/>
      <c r="K417" s="856" t="s">
        <v>717</v>
      </c>
      <c r="L417" s="857"/>
      <c r="M417" s="538">
        <f>Calculations!D242</f>
        <v>0</v>
      </c>
      <c r="N417" s="795" t="s">
        <v>733</v>
      </c>
      <c r="O417" s="796"/>
      <c r="P417" s="768">
        <f>Calculations!D243</f>
        <v>0</v>
      </c>
      <c r="Q417" s="769"/>
    </row>
    <row r="418" spans="2:17" ht="13.5" customHeight="1" x14ac:dyDescent="0.15">
      <c r="B418" s="279">
        <f>_Q138</f>
        <v>0</v>
      </c>
      <c r="C418" s="341" t="s">
        <v>504</v>
      </c>
      <c r="D418" s="338" t="s">
        <v>463</v>
      </c>
      <c r="E418" s="91"/>
      <c r="F418" s="101" t="str">
        <f>_T138</f>
        <v xml:space="preserve">Feeling that you have multiple personalities. </v>
      </c>
      <c r="G418" s="101"/>
      <c r="H418" s="101"/>
      <c r="I418" s="101"/>
      <c r="J418" s="101"/>
      <c r="K418" s="101"/>
      <c r="L418" s="101"/>
      <c r="M418" s="101"/>
      <c r="N418" s="101"/>
      <c r="O418" s="101"/>
      <c r="P418" s="101"/>
      <c r="Q418" s="102"/>
    </row>
    <row r="419" spans="2:17" ht="13.5" customHeight="1" x14ac:dyDescent="0.15">
      <c r="B419" s="280">
        <f>_Q149</f>
        <v>0</v>
      </c>
      <c r="C419" s="342" t="s">
        <v>505</v>
      </c>
      <c r="D419" s="339" t="s">
        <v>463</v>
      </c>
      <c r="E419" s="91"/>
      <c r="F419" s="101" t="str">
        <f>_T149</f>
        <v>Having other people (or parts) inside you who have their own names.</v>
      </c>
      <c r="G419" s="101"/>
      <c r="H419" s="101"/>
      <c r="I419" s="101"/>
      <c r="J419" s="101"/>
      <c r="K419" s="101"/>
      <c r="L419" s="101"/>
      <c r="M419" s="101"/>
      <c r="N419" s="101"/>
      <c r="O419" s="101"/>
      <c r="P419" s="101"/>
      <c r="Q419" s="102"/>
    </row>
    <row r="420" spans="2:17" ht="13.5" customHeight="1" x14ac:dyDescent="0.15">
      <c r="B420" s="280">
        <f>_Q174</f>
        <v>0</v>
      </c>
      <c r="C420" s="342" t="s">
        <v>506</v>
      </c>
      <c r="D420" s="339" t="s">
        <v>463</v>
      </c>
      <c r="E420" s="91"/>
      <c r="F420" s="101" t="str">
        <f>_T174</f>
        <v>Feeling that there is another person inside you who can come out and speak if it wants.</v>
      </c>
      <c r="G420" s="101"/>
      <c r="H420" s="101"/>
      <c r="I420" s="101"/>
      <c r="J420" s="101"/>
      <c r="K420" s="101"/>
      <c r="L420" s="101"/>
      <c r="M420" s="101"/>
      <c r="N420" s="101"/>
      <c r="O420" s="101"/>
      <c r="P420" s="101"/>
      <c r="Q420" s="102"/>
    </row>
    <row r="421" spans="2:17" ht="13.5" customHeight="1" x14ac:dyDescent="0.15">
      <c r="B421" s="281">
        <f>_Q202</f>
        <v>0</v>
      </c>
      <c r="C421" s="348" t="s">
        <v>507</v>
      </c>
      <c r="D421" s="347" t="s">
        <v>463</v>
      </c>
      <c r="E421" s="91"/>
      <c r="F421" s="101" t="str">
        <f>_T202</f>
        <v>Having another part inside that has different memories, behaviors, and feelings than you do.</v>
      </c>
      <c r="G421" s="101"/>
      <c r="H421" s="101"/>
      <c r="I421" s="101"/>
      <c r="J421" s="101"/>
      <c r="K421" s="101"/>
      <c r="L421" s="101"/>
      <c r="M421" s="101"/>
      <c r="N421" s="101"/>
      <c r="O421" s="101"/>
      <c r="P421" s="101"/>
      <c r="Q421" s="102"/>
    </row>
    <row r="422" spans="2:17" s="101" customFormat="1" ht="13.5" customHeight="1" x14ac:dyDescent="0.15">
      <c r="B422" s="433" t="s">
        <v>395</v>
      </c>
      <c r="C422" s="431"/>
      <c r="D422" s="431"/>
      <c r="E422" s="154"/>
      <c r="F422" s="154"/>
      <c r="G422" s="154"/>
      <c r="H422" s="154"/>
      <c r="I422" s="154"/>
      <c r="J422" s="154"/>
      <c r="K422" s="803" t="s">
        <v>717</v>
      </c>
      <c r="L422" s="804"/>
      <c r="M422" s="540">
        <f>Calculations!D246</f>
        <v>0</v>
      </c>
      <c r="N422" s="797" t="s">
        <v>733</v>
      </c>
      <c r="O422" s="773"/>
      <c r="P422" s="774">
        <f>Calculations!D247</f>
        <v>0</v>
      </c>
      <c r="Q422" s="775"/>
    </row>
    <row r="423" spans="2:17" ht="13.5" customHeight="1" x14ac:dyDescent="0.15">
      <c r="B423" s="279">
        <f>_Q8</f>
        <v>0</v>
      </c>
      <c r="C423" s="306" t="s">
        <v>631</v>
      </c>
      <c r="D423" s="308" t="s">
        <v>463</v>
      </c>
      <c r="E423" s="91"/>
      <c r="F423" s="101" t="str">
        <f>_T8</f>
        <v xml:space="preserve">Having another personality that sometimes ‘takes over.’ </v>
      </c>
      <c r="G423" s="101"/>
      <c r="H423" s="101"/>
      <c r="I423" s="101"/>
      <c r="J423" s="101"/>
      <c r="K423" s="101"/>
      <c r="L423" s="101"/>
      <c r="M423" s="101"/>
      <c r="N423" s="101"/>
      <c r="O423" s="101"/>
      <c r="P423" s="101"/>
      <c r="Q423" s="102"/>
    </row>
    <row r="424" spans="2:17" ht="13.5" customHeight="1" x14ac:dyDescent="0.15">
      <c r="B424" s="280">
        <f>_Q28</f>
        <v>0</v>
      </c>
      <c r="C424" s="349" t="s">
        <v>492</v>
      </c>
      <c r="D424" s="302" t="s">
        <v>455</v>
      </c>
      <c r="E424" s="91"/>
      <c r="F424" s="101" t="str">
        <f>_T28</f>
        <v>Feeling divided, as if you have several independent parts or sides.</v>
      </c>
      <c r="G424" s="101"/>
      <c r="H424" s="101"/>
      <c r="I424" s="101"/>
      <c r="J424" s="101"/>
      <c r="K424" s="101"/>
      <c r="L424" s="101"/>
      <c r="M424" s="101"/>
      <c r="N424" s="101"/>
      <c r="O424" s="101"/>
      <c r="P424" s="101"/>
      <c r="Q424" s="102"/>
    </row>
    <row r="425" spans="2:17" ht="13.5" customHeight="1" x14ac:dyDescent="0.15">
      <c r="B425" s="280">
        <f>_Q112</f>
        <v>0</v>
      </c>
      <c r="C425" s="349" t="s">
        <v>493</v>
      </c>
      <c r="D425" s="302" t="s">
        <v>463</v>
      </c>
      <c r="E425" s="91"/>
      <c r="F425" s="101" t="str">
        <f>_T112</f>
        <v>Feeling the presence of an angry part in your head that tries to control what you do or say.</v>
      </c>
      <c r="G425" s="101"/>
      <c r="H425" s="101"/>
      <c r="I425" s="101"/>
      <c r="J425" s="101"/>
      <c r="K425" s="101"/>
      <c r="L425" s="101"/>
      <c r="M425" s="101"/>
      <c r="N425" s="101"/>
      <c r="O425" s="101"/>
      <c r="P425" s="101"/>
      <c r="Q425" s="102"/>
    </row>
    <row r="426" spans="2:17" ht="13.5" customHeight="1" x14ac:dyDescent="0.15">
      <c r="B426" s="280">
        <f>_Q208</f>
        <v>0</v>
      </c>
      <c r="C426" s="349" t="s">
        <v>494</v>
      </c>
      <c r="D426" s="302" t="s">
        <v>455</v>
      </c>
      <c r="E426" s="91"/>
      <c r="F426" s="101" t="str">
        <f>_T208</f>
        <v>Having a very angry part that ‘comes out’ and says and does things that you would never do or say.</v>
      </c>
      <c r="G426" s="101"/>
      <c r="H426" s="101"/>
      <c r="I426" s="101"/>
      <c r="J426" s="101"/>
      <c r="K426" s="101"/>
      <c r="L426" s="101"/>
      <c r="M426" s="101"/>
      <c r="N426" s="101"/>
      <c r="O426" s="101"/>
      <c r="P426" s="101"/>
      <c r="Q426" s="102"/>
    </row>
    <row r="427" spans="2:17" ht="13.5" customHeight="1" x14ac:dyDescent="0.15">
      <c r="B427" s="280">
        <f>_Q212</f>
        <v>0</v>
      </c>
      <c r="C427" s="349" t="s">
        <v>495</v>
      </c>
      <c r="D427" s="302" t="s">
        <v>455</v>
      </c>
      <c r="E427" s="91"/>
      <c r="F427" s="101" t="str">
        <f>_T212</f>
        <v>Feeling that another part or entity inside you tries to stop you from doing or saying something.</v>
      </c>
      <c r="G427" s="101"/>
      <c r="H427" s="101"/>
      <c r="I427" s="101"/>
      <c r="J427" s="101"/>
      <c r="K427" s="101"/>
      <c r="L427" s="101"/>
      <c r="M427" s="101"/>
      <c r="N427" s="101"/>
      <c r="O427" s="101"/>
      <c r="P427" s="101"/>
      <c r="Q427" s="102"/>
    </row>
    <row r="428" spans="2:17" ht="13.5" customHeight="1" x14ac:dyDescent="0.15">
      <c r="B428" s="280">
        <f>_Q214</f>
        <v>0</v>
      </c>
      <c r="C428" s="349" t="s">
        <v>496</v>
      </c>
      <c r="D428" s="302" t="s">
        <v>455</v>
      </c>
      <c r="E428" s="91"/>
      <c r="F428" s="398" t="s">
        <v>503</v>
      </c>
      <c r="G428" s="202"/>
      <c r="H428" s="202"/>
      <c r="I428" s="202"/>
      <c r="J428" s="202"/>
      <c r="K428" s="202"/>
      <c r="L428" s="202"/>
      <c r="M428" s="202"/>
      <c r="N428" s="202"/>
      <c r="O428" s="202"/>
      <c r="P428" s="202"/>
      <c r="Q428" s="203"/>
    </row>
    <row r="429" spans="2:17" ht="13.5" customHeight="1" x14ac:dyDescent="0.15">
      <c r="B429" s="281">
        <f>_Q215</f>
        <v>0</v>
      </c>
      <c r="C429" s="350" t="s">
        <v>497</v>
      </c>
      <c r="D429" s="351" t="s">
        <v>463</v>
      </c>
      <c r="E429" s="91"/>
      <c r="F429" s="101" t="str">
        <f>_T215</f>
        <v xml:space="preserve">Feeling the presence of an angry part in your head that seems to hate you. </v>
      </c>
      <c r="G429" s="101"/>
      <c r="H429" s="101"/>
      <c r="I429" s="101"/>
      <c r="J429" s="101"/>
      <c r="K429" s="101"/>
      <c r="L429" s="101"/>
      <c r="M429" s="101"/>
      <c r="N429" s="101"/>
      <c r="O429" s="101"/>
      <c r="P429" s="101"/>
      <c r="Q429" s="102"/>
    </row>
    <row r="430" spans="2:17" s="101" customFormat="1" ht="13.5" customHeight="1" x14ac:dyDescent="0.15">
      <c r="B430" s="433" t="s">
        <v>393</v>
      </c>
      <c r="C430" s="434"/>
      <c r="D430" s="434"/>
      <c r="E430" s="154"/>
      <c r="F430" s="154"/>
      <c r="G430" s="154"/>
      <c r="H430" s="154"/>
      <c r="I430" s="154"/>
      <c r="J430" s="154"/>
      <c r="K430" s="803" t="s">
        <v>717</v>
      </c>
      <c r="L430" s="804"/>
      <c r="M430" s="542">
        <f>Calculations!D256</f>
        <v>0</v>
      </c>
      <c r="N430" s="432"/>
      <c r="O430" s="120"/>
      <c r="P430" s="120"/>
      <c r="Q430" s="256"/>
    </row>
    <row r="431" spans="2:17" ht="13.5" customHeight="1" x14ac:dyDescent="0.15">
      <c r="B431" s="279">
        <f>_Q6</f>
        <v>0</v>
      </c>
      <c r="C431" s="341" t="s">
        <v>508</v>
      </c>
      <c r="D431" s="338" t="s">
        <v>463</v>
      </c>
      <c r="E431" s="92"/>
      <c r="F431" s="101" t="str">
        <f>_T6</f>
        <v>Hearing the voice of a child in your head.</v>
      </c>
      <c r="G431" s="101"/>
      <c r="H431" s="101"/>
      <c r="I431" s="101"/>
      <c r="J431" s="101"/>
      <c r="K431" s="101"/>
      <c r="L431" s="106"/>
      <c r="M431" s="100"/>
      <c r="N431" s="101"/>
      <c r="O431" s="106"/>
      <c r="P431" s="106"/>
      <c r="Q431" s="107"/>
    </row>
    <row r="432" spans="2:17" ht="13.5" customHeight="1" x14ac:dyDescent="0.15">
      <c r="B432" s="280">
        <f>_Q18</f>
        <v>0</v>
      </c>
      <c r="C432" s="342" t="s">
        <v>509</v>
      </c>
      <c r="D432" s="339" t="s">
        <v>463</v>
      </c>
      <c r="E432" s="92"/>
      <c r="F432" s="101" t="str">
        <f>_T18</f>
        <v>Seeing images of a child who seems to ‘live’ in your head.</v>
      </c>
      <c r="G432" s="101"/>
      <c r="H432" s="101"/>
      <c r="I432" s="101"/>
      <c r="J432" s="101"/>
      <c r="K432" s="101"/>
      <c r="L432" s="106"/>
      <c r="M432" s="100"/>
      <c r="N432" s="101"/>
      <c r="O432" s="106"/>
      <c r="P432" s="106"/>
      <c r="Q432" s="107"/>
    </row>
    <row r="433" spans="2:17" ht="13.5" customHeight="1" x14ac:dyDescent="0.15">
      <c r="B433" s="280">
        <f>_Q83</f>
        <v>0</v>
      </c>
      <c r="C433" s="342" t="s">
        <v>510</v>
      </c>
      <c r="D433" s="339" t="s">
        <v>455</v>
      </c>
      <c r="E433" s="91"/>
      <c r="F433" s="101" t="str">
        <f>_T83</f>
        <v>Switching back and forth between feeling like an adult and feeling like a child.</v>
      </c>
      <c r="G433" s="101"/>
      <c r="H433" s="101"/>
      <c r="I433" s="101"/>
      <c r="J433" s="101"/>
      <c r="K433" s="101"/>
      <c r="L433" s="101"/>
      <c r="M433" s="101"/>
      <c r="N433" s="101"/>
      <c r="O433" s="101"/>
      <c r="P433" s="101"/>
      <c r="Q433" s="102"/>
    </row>
    <row r="434" spans="2:17" ht="13.5" customHeight="1" x14ac:dyDescent="0.15">
      <c r="B434" s="280">
        <f>_Q97</f>
        <v>0</v>
      </c>
      <c r="C434" s="342" t="s">
        <v>511</v>
      </c>
      <c r="D434" s="339" t="s">
        <v>463</v>
      </c>
      <c r="E434" s="91"/>
      <c r="F434" s="101" t="str">
        <f>_T97</f>
        <v xml:space="preserve">Hearing a lot of noise or yelling in your head.  </v>
      </c>
      <c r="G434" s="101"/>
      <c r="H434" s="101"/>
      <c r="I434" s="101"/>
      <c r="J434" s="101"/>
      <c r="K434" s="101"/>
      <c r="L434" s="101"/>
      <c r="M434" s="101"/>
      <c r="N434" s="101"/>
      <c r="O434" s="101"/>
      <c r="P434" s="101"/>
      <c r="Q434" s="102"/>
    </row>
    <row r="435" spans="2:17" ht="13.5" customHeight="1" x14ac:dyDescent="0.15">
      <c r="B435" s="280">
        <f>_Q118</f>
        <v>0</v>
      </c>
      <c r="C435" s="342" t="s">
        <v>512</v>
      </c>
      <c r="D435" s="339" t="s">
        <v>462</v>
      </c>
      <c r="E435" s="91"/>
      <c r="F435" s="101" t="str">
        <f>_T118</f>
        <v xml:space="preserve">Hearing voices crying in your head.  </v>
      </c>
      <c r="G435" s="101"/>
      <c r="H435" s="101"/>
      <c r="I435" s="101"/>
      <c r="J435" s="101"/>
      <c r="K435" s="101"/>
      <c r="L435" s="101"/>
      <c r="M435" s="101"/>
      <c r="N435" s="101"/>
      <c r="O435" s="101"/>
      <c r="P435" s="101"/>
      <c r="Q435" s="102"/>
    </row>
    <row r="436" spans="2:17" ht="13.5" customHeight="1" x14ac:dyDescent="0.15">
      <c r="B436" s="280">
        <f>_Q188</f>
        <v>0</v>
      </c>
      <c r="C436" s="342" t="s">
        <v>513</v>
      </c>
      <c r="D436" s="339" t="s">
        <v>463</v>
      </c>
      <c r="E436" s="91"/>
      <c r="F436" s="101" t="str">
        <f>_T188</f>
        <v xml:space="preserve">Suddenly feeling very small, like a young child. </v>
      </c>
      <c r="G436" s="101"/>
      <c r="H436" s="101"/>
      <c r="I436" s="101"/>
      <c r="J436" s="101"/>
      <c r="K436" s="101"/>
      <c r="L436" s="101"/>
      <c r="M436" s="101"/>
      <c r="N436" s="101"/>
      <c r="O436" s="101"/>
      <c r="P436" s="101"/>
      <c r="Q436" s="102"/>
    </row>
    <row r="437" spans="2:17" ht="13.5" customHeight="1" x14ac:dyDescent="0.15">
      <c r="B437" s="281">
        <f>_Q218</f>
        <v>0</v>
      </c>
      <c r="C437" s="348" t="s">
        <v>514</v>
      </c>
      <c r="D437" s="347" t="s">
        <v>455</v>
      </c>
      <c r="E437" s="91"/>
      <c r="F437" s="101" t="str">
        <f>_T218</f>
        <v>Noticing the presence of a child inside you.</v>
      </c>
      <c r="G437" s="101"/>
      <c r="H437" s="101"/>
      <c r="I437" s="101"/>
      <c r="J437" s="101"/>
      <c r="K437" s="101"/>
      <c r="L437" s="101"/>
      <c r="M437" s="101"/>
      <c r="N437" s="101"/>
      <c r="O437" s="101"/>
      <c r="P437" s="101"/>
      <c r="Q437" s="102"/>
    </row>
    <row r="438" spans="2:17" s="101" customFormat="1" ht="13.5" customHeight="1" x14ac:dyDescent="0.15">
      <c r="B438" s="151" t="s">
        <v>392</v>
      </c>
      <c r="C438" s="152"/>
      <c r="D438" s="152"/>
      <c r="E438" s="154"/>
      <c r="F438" s="154"/>
      <c r="G438" s="154"/>
      <c r="H438" s="154"/>
      <c r="I438" s="154"/>
      <c r="J438" s="154"/>
      <c r="K438" s="803" t="s">
        <v>717</v>
      </c>
      <c r="L438" s="804"/>
      <c r="M438" s="542">
        <f>Calculations!D260</f>
        <v>0</v>
      </c>
      <c r="N438" s="432"/>
      <c r="O438" s="120"/>
      <c r="P438" s="120"/>
      <c r="Q438" s="256"/>
    </row>
    <row r="439" spans="2:17" ht="13.5" customHeight="1" x14ac:dyDescent="0.15">
      <c r="B439" s="346">
        <f>_Q216</f>
        <v>0</v>
      </c>
      <c r="C439" s="345" t="s">
        <v>491</v>
      </c>
      <c r="D439" s="344" t="s">
        <v>463</v>
      </c>
      <c r="E439" s="91"/>
      <c r="F439" s="101" t="str">
        <f>_T216</f>
        <v>Hearing a voice in your head that is soothing, helpful, or protective.</v>
      </c>
      <c r="G439" s="101"/>
      <c r="H439" s="101"/>
      <c r="I439" s="101"/>
      <c r="J439" s="101"/>
      <c r="K439" s="101"/>
      <c r="L439" s="101"/>
      <c r="M439" s="101"/>
      <c r="N439" s="101"/>
      <c r="O439" s="101"/>
      <c r="P439" s="101"/>
      <c r="Q439" s="102"/>
    </row>
    <row r="440" spans="2:17" s="101" customFormat="1" ht="13.5" customHeight="1" x14ac:dyDescent="0.15">
      <c r="B440" s="433" t="s">
        <v>391</v>
      </c>
      <c r="C440" s="431"/>
      <c r="D440" s="431"/>
      <c r="E440" s="154"/>
      <c r="F440" s="154"/>
      <c r="G440" s="154"/>
      <c r="H440" s="154"/>
      <c r="I440" s="154"/>
      <c r="J440" s="154"/>
      <c r="K440" s="803" t="s">
        <v>717</v>
      </c>
      <c r="L440" s="804"/>
      <c r="M440" s="542">
        <f>Calculations!D264</f>
        <v>0</v>
      </c>
      <c r="N440" s="432"/>
      <c r="O440" s="120"/>
      <c r="P440" s="120"/>
      <c r="Q440" s="256"/>
    </row>
    <row r="441" spans="2:17" ht="13.5" customHeight="1" x14ac:dyDescent="0.15">
      <c r="B441" s="279">
        <f>_Q99</f>
        <v>0</v>
      </c>
      <c r="C441" s="291" t="s">
        <v>618</v>
      </c>
      <c r="D441" s="294" t="s">
        <v>463</v>
      </c>
      <c r="E441" s="91"/>
      <c r="F441" s="101" t="str">
        <f>_T99</f>
        <v>Words just flowing from your mouth as if they were not in your control.</v>
      </c>
      <c r="G441" s="101"/>
      <c r="H441" s="101"/>
      <c r="I441" s="101"/>
      <c r="J441" s="101"/>
      <c r="K441" s="101"/>
      <c r="L441" s="101"/>
      <c r="M441" s="101"/>
      <c r="N441" s="101"/>
      <c r="O441" s="101"/>
      <c r="P441" s="101"/>
      <c r="Q441" s="102"/>
    </row>
    <row r="442" spans="2:17" ht="13.5" customHeight="1" x14ac:dyDescent="0.15">
      <c r="B442" s="280">
        <f>_Q112</f>
        <v>0</v>
      </c>
      <c r="C442" s="292" t="s">
        <v>493</v>
      </c>
      <c r="D442" s="295" t="s">
        <v>463</v>
      </c>
      <c r="E442" s="91"/>
      <c r="F442" s="101" t="str">
        <f>_T112</f>
        <v>Feeling the presence of an angry part in your head that tries to control what you do or say.</v>
      </c>
      <c r="G442" s="101"/>
      <c r="H442" s="101"/>
      <c r="I442" s="101"/>
      <c r="J442" s="101"/>
      <c r="K442" s="101"/>
      <c r="L442" s="101"/>
      <c r="M442" s="101"/>
      <c r="N442" s="101"/>
      <c r="O442" s="101"/>
      <c r="P442" s="101"/>
      <c r="Q442" s="102"/>
    </row>
    <row r="443" spans="2:17" ht="13.5" customHeight="1" x14ac:dyDescent="0.15">
      <c r="B443" s="280">
        <f>_Q129</f>
        <v>0</v>
      </c>
      <c r="C443" s="292" t="s">
        <v>597</v>
      </c>
      <c r="D443" s="295" t="s">
        <v>463</v>
      </c>
      <c r="E443" s="91"/>
      <c r="F443" s="101" t="str">
        <f>_T129</f>
        <v>When you are angry, doing or saying things that you don’t remember (after you calm down).</v>
      </c>
      <c r="G443" s="101"/>
      <c r="H443" s="101"/>
      <c r="I443" s="101"/>
      <c r="J443" s="101"/>
      <c r="K443" s="101"/>
      <c r="L443" s="101"/>
      <c r="M443" s="101"/>
      <c r="N443" s="101"/>
      <c r="O443" s="101"/>
      <c r="P443" s="101"/>
      <c r="Q443" s="102"/>
    </row>
    <row r="444" spans="2:17" ht="13.5" customHeight="1" x14ac:dyDescent="0.15">
      <c r="B444" s="281">
        <f>_Q208</f>
        <v>0</v>
      </c>
      <c r="C444" s="293" t="s">
        <v>494</v>
      </c>
      <c r="D444" s="296" t="s">
        <v>455</v>
      </c>
      <c r="E444" s="91"/>
      <c r="F444" s="101" t="str">
        <f>_T208</f>
        <v>Having a very angry part that ‘comes out’ and says and does things that you would never do or say.</v>
      </c>
      <c r="G444" s="101"/>
      <c r="H444" s="101"/>
      <c r="I444" s="101"/>
      <c r="J444" s="101"/>
      <c r="K444" s="101"/>
      <c r="L444" s="101"/>
      <c r="M444" s="101"/>
      <c r="N444" s="101"/>
      <c r="O444" s="101"/>
      <c r="P444" s="101"/>
      <c r="Q444" s="102"/>
    </row>
    <row r="445" spans="2:17" s="101" customFormat="1" ht="13.5" customHeight="1" x14ac:dyDescent="0.15">
      <c r="B445" s="151" t="s">
        <v>661</v>
      </c>
      <c r="C445" s="431"/>
      <c r="D445" s="431"/>
      <c r="E445" s="154"/>
      <c r="F445" s="154"/>
      <c r="G445" s="154"/>
      <c r="H445" s="154"/>
      <c r="I445" s="154"/>
      <c r="J445" s="154"/>
      <c r="K445" s="803" t="s">
        <v>717</v>
      </c>
      <c r="L445" s="804"/>
      <c r="M445" s="542">
        <f>Calculations!D268</f>
        <v>0</v>
      </c>
      <c r="N445" s="432"/>
      <c r="O445" s="120"/>
      <c r="P445" s="120"/>
      <c r="Q445" s="256"/>
    </row>
    <row r="446" spans="2:17" ht="13.5" customHeight="1" x14ac:dyDescent="0.15">
      <c r="B446" s="279">
        <f>_Q84</f>
        <v>0</v>
      </c>
      <c r="C446" s="341" t="s">
        <v>612</v>
      </c>
      <c r="D446" s="338" t="s">
        <v>463</v>
      </c>
      <c r="E446" s="91"/>
      <c r="F446" s="101" t="str">
        <f>_T84</f>
        <v>Hearing a voice in your head that wants you to hurt yourself.</v>
      </c>
      <c r="G446" s="101"/>
      <c r="H446" s="101"/>
      <c r="I446" s="101"/>
      <c r="J446" s="101"/>
      <c r="K446" s="101"/>
      <c r="L446" s="101"/>
      <c r="M446" s="101"/>
      <c r="N446" s="101"/>
      <c r="O446" s="101"/>
      <c r="P446" s="101"/>
      <c r="Q446" s="102"/>
    </row>
    <row r="447" spans="2:17" ht="13.5" customHeight="1" x14ac:dyDescent="0.15">
      <c r="B447" s="280">
        <f>_Q140</f>
        <v>0</v>
      </c>
      <c r="C447" s="342" t="s">
        <v>613</v>
      </c>
      <c r="D447" s="339" t="s">
        <v>463</v>
      </c>
      <c r="E447" s="91"/>
      <c r="F447" s="101" t="str">
        <f>_T140</f>
        <v>Hearing a voice in your head that calls you names (for example, wimp, stupid, whore, slut, bitch, etc.).</v>
      </c>
      <c r="G447" s="101"/>
      <c r="H447" s="101"/>
      <c r="I447" s="101"/>
      <c r="J447" s="101"/>
      <c r="K447" s="101"/>
      <c r="L447" s="101"/>
      <c r="M447" s="101"/>
      <c r="N447" s="101"/>
      <c r="O447" s="101"/>
      <c r="P447" s="101"/>
      <c r="Q447" s="102"/>
    </row>
    <row r="448" spans="2:17" ht="13.5" customHeight="1" x14ac:dyDescent="0.15">
      <c r="B448" s="280">
        <f>_Q159</f>
        <v>0</v>
      </c>
      <c r="C448" s="342" t="s">
        <v>614</v>
      </c>
      <c r="D448" s="339" t="s">
        <v>463</v>
      </c>
      <c r="E448" s="91"/>
      <c r="F448" s="101" t="str">
        <f>_T159</f>
        <v xml:space="preserve">Hearing a voice in your head that wants you to die.  </v>
      </c>
      <c r="G448" s="101"/>
      <c r="H448" s="101"/>
      <c r="I448" s="101"/>
      <c r="J448" s="101"/>
      <c r="K448" s="101"/>
      <c r="L448" s="101"/>
      <c r="M448" s="101"/>
      <c r="N448" s="101"/>
      <c r="O448" s="101"/>
      <c r="P448" s="101"/>
      <c r="Q448" s="102"/>
    </row>
    <row r="449" spans="2:17" ht="13.5" customHeight="1" x14ac:dyDescent="0.15">
      <c r="B449" s="280">
        <f>_Q171</f>
        <v>0</v>
      </c>
      <c r="C449" s="342" t="s">
        <v>615</v>
      </c>
      <c r="D449" s="339" t="s">
        <v>463</v>
      </c>
      <c r="E449" s="91"/>
      <c r="F449" s="101" t="str">
        <f>_T171</f>
        <v xml:space="preserve">Hearing a voice in your head that calls you a liar or tells you that certain events never happened.  </v>
      </c>
      <c r="G449" s="101"/>
      <c r="H449" s="101"/>
      <c r="I449" s="101"/>
      <c r="J449" s="101"/>
      <c r="K449" s="101"/>
      <c r="L449" s="101"/>
      <c r="M449" s="101"/>
      <c r="N449" s="101"/>
      <c r="O449" s="101"/>
      <c r="P449" s="101"/>
      <c r="Q449" s="102"/>
    </row>
    <row r="450" spans="2:17" ht="13.5" customHeight="1" x14ac:dyDescent="0.15">
      <c r="B450" s="280">
        <f>_Q199</f>
        <v>0</v>
      </c>
      <c r="C450" s="342" t="s">
        <v>609</v>
      </c>
      <c r="D450" s="339" t="s">
        <v>462</v>
      </c>
      <c r="E450" s="91"/>
      <c r="F450" s="101" t="str">
        <f>_T199</f>
        <v xml:space="preserve">Hearing a voice in your head that tells you to “shut up.” </v>
      </c>
      <c r="G450" s="101"/>
      <c r="H450" s="101"/>
      <c r="I450" s="101"/>
      <c r="J450" s="101"/>
      <c r="K450" s="101"/>
      <c r="L450" s="101"/>
      <c r="M450" s="101"/>
      <c r="N450" s="101"/>
      <c r="O450" s="101"/>
      <c r="P450" s="101"/>
      <c r="Q450" s="102"/>
    </row>
    <row r="451" spans="2:17" s="32" customFormat="1" ht="13.5" customHeight="1" x14ac:dyDescent="0.2">
      <c r="B451" s="280">
        <f>_Q207</f>
        <v>0</v>
      </c>
      <c r="C451" s="342" t="s">
        <v>616</v>
      </c>
      <c r="D451" s="339" t="s">
        <v>463</v>
      </c>
      <c r="E451" s="91"/>
      <c r="F451" s="101" t="str">
        <f>_T207</f>
        <v xml:space="preserve">Hearing a voice in your head that calls you no good, worthless, or a failure. </v>
      </c>
      <c r="G451" s="101"/>
      <c r="H451" s="101"/>
      <c r="I451" s="101"/>
      <c r="J451" s="101"/>
      <c r="K451" s="101"/>
      <c r="L451" s="101"/>
      <c r="M451" s="101"/>
      <c r="N451" s="101"/>
      <c r="O451" s="101"/>
      <c r="P451" s="101"/>
      <c r="Q451" s="102"/>
    </row>
    <row r="452" spans="2:17" s="47" customFormat="1" ht="15" customHeight="1" x14ac:dyDescent="0.15">
      <c r="B452" s="281">
        <f>_Q215</f>
        <v>0</v>
      </c>
      <c r="C452" s="348" t="s">
        <v>497</v>
      </c>
      <c r="D452" s="347" t="s">
        <v>463</v>
      </c>
      <c r="E452" s="591"/>
      <c r="F452" s="193" t="str">
        <f>_T215</f>
        <v xml:space="preserve">Feeling the presence of an angry part in your head that seems to hate you. </v>
      </c>
      <c r="G452" s="193"/>
      <c r="H452" s="193"/>
      <c r="I452" s="193"/>
      <c r="J452" s="193"/>
      <c r="K452" s="193"/>
      <c r="L452" s="193"/>
      <c r="M452" s="193"/>
      <c r="N452" s="193"/>
      <c r="O452" s="193"/>
      <c r="P452" s="193"/>
      <c r="Q452" s="454"/>
    </row>
    <row r="453" spans="2:17" s="101" customFormat="1" ht="13.5" customHeight="1" x14ac:dyDescent="0.15">
      <c r="B453" s="422" t="s">
        <v>775</v>
      </c>
      <c r="C453" s="587"/>
      <c r="D453" s="587"/>
      <c r="E453" s="170"/>
      <c r="F453" s="170"/>
      <c r="G453" s="170"/>
      <c r="H453" s="170"/>
      <c r="I453" s="170"/>
      <c r="J453" s="170"/>
      <c r="K453" s="785" t="s">
        <v>717</v>
      </c>
      <c r="L453" s="786"/>
      <c r="M453" s="547">
        <f>Calculations!D272</f>
        <v>0</v>
      </c>
      <c r="N453" s="588"/>
      <c r="O453" s="589"/>
      <c r="P453" s="589"/>
      <c r="Q453" s="590"/>
    </row>
    <row r="454" spans="2:17" ht="13.5" customHeight="1" thickBot="1" x14ac:dyDescent="0.2">
      <c r="B454" s="346">
        <f>_Q201</f>
        <v>0</v>
      </c>
      <c r="C454" s="658" t="s">
        <v>640</v>
      </c>
      <c r="D454" s="659" t="s">
        <v>776</v>
      </c>
      <c r="E454" s="91"/>
      <c r="F454" s="101" t="str">
        <f>_T201</f>
        <v>Switching back and forth between feeling like a man and feeling like a woman.</v>
      </c>
      <c r="G454" s="101"/>
      <c r="H454" s="101"/>
      <c r="I454" s="101"/>
      <c r="J454" s="101"/>
      <c r="K454" s="101"/>
      <c r="L454" s="101"/>
      <c r="M454" s="101"/>
      <c r="N454" s="101"/>
      <c r="O454" s="101"/>
      <c r="P454" s="101"/>
      <c r="Q454" s="102"/>
    </row>
    <row r="455" spans="2:17" ht="11" customHeight="1" thickBot="1" x14ac:dyDescent="0.2">
      <c r="B455" s="93"/>
      <c r="C455" s="93"/>
      <c r="D455" s="93"/>
      <c r="E455" s="90"/>
      <c r="F455" s="108"/>
      <c r="G455" s="108"/>
      <c r="H455" s="108"/>
      <c r="I455" s="108"/>
      <c r="J455" s="108"/>
      <c r="K455" s="108"/>
      <c r="L455" s="108"/>
      <c r="M455" s="108"/>
      <c r="N455" s="108"/>
      <c r="O455" s="108"/>
      <c r="P455" s="108"/>
      <c r="Q455" s="108"/>
    </row>
    <row r="456" spans="2:17" ht="16" customHeight="1" thickBot="1" x14ac:dyDescent="0.2">
      <c r="B456" s="1061" t="s">
        <v>333</v>
      </c>
      <c r="C456" s="1062"/>
      <c r="D456" s="1062"/>
      <c r="E456" s="1062"/>
      <c r="F456" s="1062"/>
      <c r="G456" s="1062"/>
      <c r="H456" s="1062"/>
      <c r="I456" s="1062"/>
      <c r="J456" s="1062"/>
      <c r="K456" s="1062"/>
      <c r="L456" s="1062"/>
      <c r="M456" s="1058" t="s">
        <v>766</v>
      </c>
      <c r="N456" s="1058"/>
      <c r="O456" s="1058"/>
      <c r="P456" s="790" t="str">
        <f>Calculations!B122&amp;" of 8"</f>
        <v>0 of 8</v>
      </c>
      <c r="Q456" s="791"/>
    </row>
    <row r="457" spans="2:17" s="101" customFormat="1" ht="13.5" customHeight="1" x14ac:dyDescent="0.15">
      <c r="B457" s="196" t="s">
        <v>660</v>
      </c>
      <c r="C457" s="197"/>
      <c r="D457" s="197"/>
      <c r="E457" s="198"/>
      <c r="F457" s="198"/>
      <c r="G457" s="198"/>
      <c r="H457" s="198"/>
      <c r="I457" s="798" t="s">
        <v>691</v>
      </c>
      <c r="J457" s="799"/>
      <c r="K457" s="856" t="s">
        <v>717</v>
      </c>
      <c r="L457" s="857"/>
      <c r="M457" s="538">
        <f>Calculations!D92</f>
        <v>0</v>
      </c>
      <c r="N457" s="800" t="s">
        <v>658</v>
      </c>
      <c r="O457" s="796"/>
      <c r="P457" s="768" t="str">
        <f>IF(Calculations!D94&gt;0, "Yes", "No")</f>
        <v>No</v>
      </c>
      <c r="Q457" s="769"/>
    </row>
    <row r="458" spans="2:17" ht="13.5" customHeight="1" x14ac:dyDescent="0.15">
      <c r="B458" s="335">
        <f>_Q30</f>
        <v>0</v>
      </c>
      <c r="C458" s="336" t="s">
        <v>604</v>
      </c>
      <c r="D458" s="337" t="s">
        <v>462</v>
      </c>
      <c r="E458" s="43"/>
      <c r="F458" s="33" t="str">
        <f>_T30</f>
        <v xml:space="preserve">Hearing voices in your head that argue or converse with one another.  </v>
      </c>
      <c r="Q458" s="75"/>
    </row>
    <row r="459" spans="2:17" s="101" customFormat="1" ht="13" customHeight="1" x14ac:dyDescent="0.15">
      <c r="B459" s="151" t="s">
        <v>662</v>
      </c>
      <c r="C459" s="152"/>
      <c r="D459" s="152"/>
      <c r="E459" s="153"/>
      <c r="F459" s="154"/>
      <c r="G459" s="154"/>
      <c r="H459" s="154"/>
      <c r="I459" s="805" t="s">
        <v>693</v>
      </c>
      <c r="J459" s="806"/>
      <c r="K459" s="801" t="s">
        <v>717</v>
      </c>
      <c r="L459" s="802"/>
      <c r="M459" s="487">
        <f>Calculations!D96</f>
        <v>0</v>
      </c>
      <c r="N459" s="807" t="s">
        <v>658</v>
      </c>
      <c r="O459" s="808"/>
      <c r="P459" s="783" t="str">
        <f>IF(Calculations!D98&gt;1, "Yes", "No")</f>
        <v>No</v>
      </c>
      <c r="Q459" s="784"/>
    </row>
    <row r="460" spans="2:17" ht="13" customHeight="1" x14ac:dyDescent="0.15">
      <c r="B460" s="326">
        <f>_Q42</f>
        <v>0</v>
      </c>
      <c r="C460" s="329" t="s">
        <v>605</v>
      </c>
      <c r="D460" s="331" t="s">
        <v>462</v>
      </c>
      <c r="E460" s="43"/>
      <c r="F460" s="101" t="str">
        <f>_T42</f>
        <v>Hearing a voice in your head that tries to tell you what to do.</v>
      </c>
      <c r="G460" s="101"/>
      <c r="H460" s="101"/>
      <c r="I460" s="101"/>
      <c r="J460" s="101"/>
      <c r="K460" s="101"/>
      <c r="L460" s="101"/>
      <c r="M460" s="101"/>
      <c r="N460" s="101"/>
      <c r="O460" s="101"/>
      <c r="P460" s="101"/>
      <c r="Q460" s="102"/>
    </row>
    <row r="461" spans="2:17" ht="13.5" customHeight="1" x14ac:dyDescent="0.15">
      <c r="B461" s="317">
        <f>_Q97</f>
        <v>0</v>
      </c>
      <c r="C461" s="318" t="s">
        <v>511</v>
      </c>
      <c r="D461" s="319" t="s">
        <v>463</v>
      </c>
      <c r="E461" s="43"/>
      <c r="F461" s="101" t="str">
        <f>_T97</f>
        <v xml:space="preserve">Hearing a lot of noise or yelling in your head.  </v>
      </c>
      <c r="G461" s="101"/>
      <c r="H461" s="101"/>
      <c r="I461" s="101"/>
      <c r="J461" s="101"/>
      <c r="K461" s="101"/>
      <c r="L461" s="101"/>
      <c r="M461" s="101"/>
      <c r="N461" s="101"/>
      <c r="O461" s="101"/>
      <c r="P461" s="101"/>
      <c r="Q461" s="102"/>
    </row>
    <row r="462" spans="2:17" ht="13.5" customHeight="1" x14ac:dyDescent="0.15">
      <c r="B462" s="317">
        <f>_Q140</f>
        <v>0</v>
      </c>
      <c r="C462" s="318" t="s">
        <v>613</v>
      </c>
      <c r="D462" s="319" t="s">
        <v>463</v>
      </c>
      <c r="E462" s="43"/>
      <c r="F462" s="101" t="str">
        <f>_T140</f>
        <v>Hearing a voice in your head that calls you names (for example, wimp, stupid, whore, slut, bitch, etc.).</v>
      </c>
      <c r="G462" s="101"/>
      <c r="H462" s="101"/>
      <c r="I462" s="101"/>
      <c r="J462" s="101"/>
      <c r="K462" s="101"/>
      <c r="L462" s="101"/>
      <c r="M462" s="101"/>
      <c r="N462" s="101"/>
      <c r="O462" s="101"/>
      <c r="P462" s="101"/>
      <c r="Q462" s="102"/>
    </row>
    <row r="463" spans="2:17" ht="13.5" customHeight="1" x14ac:dyDescent="0.15">
      <c r="B463" s="317">
        <f>_Q171</f>
        <v>0</v>
      </c>
      <c r="C463" s="318" t="s">
        <v>615</v>
      </c>
      <c r="D463" s="319" t="s">
        <v>463</v>
      </c>
      <c r="E463" s="43"/>
      <c r="F463" s="101" t="str">
        <f>_T171</f>
        <v xml:space="preserve">Hearing a voice in your head that calls you a liar or tells you that certain events never happened.  </v>
      </c>
      <c r="G463" s="101"/>
      <c r="H463" s="101"/>
      <c r="I463" s="101"/>
      <c r="J463" s="101"/>
      <c r="K463" s="101"/>
      <c r="L463" s="101"/>
      <c r="M463" s="101"/>
      <c r="N463" s="101"/>
      <c r="O463" s="101"/>
      <c r="P463" s="101"/>
      <c r="Q463" s="102"/>
    </row>
    <row r="464" spans="2:17" ht="13" customHeight="1" x14ac:dyDescent="0.15">
      <c r="B464" s="317">
        <f>_Q199</f>
        <v>0</v>
      </c>
      <c r="C464" s="318" t="s">
        <v>609</v>
      </c>
      <c r="D464" s="319" t="s">
        <v>462</v>
      </c>
      <c r="E464" s="43"/>
      <c r="F464" s="101" t="str">
        <f>_T199</f>
        <v xml:space="preserve">Hearing a voice in your head that tells you to “shut up.” </v>
      </c>
      <c r="G464" s="101"/>
      <c r="H464" s="101"/>
      <c r="I464" s="101"/>
      <c r="J464" s="101"/>
      <c r="K464" s="101"/>
      <c r="L464" s="101"/>
      <c r="M464" s="101"/>
      <c r="N464" s="101"/>
      <c r="O464" s="101"/>
      <c r="P464" s="101"/>
      <c r="Q464" s="102"/>
    </row>
    <row r="465" spans="2:17" ht="13.5" customHeight="1" x14ac:dyDescent="0.15">
      <c r="B465" s="328">
        <f>_Q207</f>
        <v>0</v>
      </c>
      <c r="C465" s="330" t="s">
        <v>616</v>
      </c>
      <c r="D465" s="332" t="s">
        <v>463</v>
      </c>
      <c r="E465" s="43"/>
      <c r="F465" s="101" t="str">
        <f>_T207</f>
        <v xml:space="preserve">Hearing a voice in your head that calls you no good, worthless, or a failure. </v>
      </c>
      <c r="G465" s="101"/>
      <c r="H465" s="101"/>
      <c r="I465" s="101"/>
      <c r="J465" s="101"/>
      <c r="K465" s="101"/>
      <c r="L465" s="101"/>
      <c r="M465" s="101"/>
      <c r="N465" s="101"/>
      <c r="O465" s="101"/>
      <c r="P465" s="101"/>
      <c r="Q465" s="102"/>
    </row>
    <row r="466" spans="2:17" s="101" customFormat="1" ht="13.5" customHeight="1" x14ac:dyDescent="0.15">
      <c r="B466" s="420" t="s">
        <v>663</v>
      </c>
      <c r="C466" s="421"/>
      <c r="D466" s="421"/>
      <c r="E466" s="154"/>
      <c r="F466" s="154"/>
      <c r="G466" s="154"/>
      <c r="H466" s="154"/>
      <c r="I466" s="770" t="s">
        <v>692</v>
      </c>
      <c r="J466" s="771"/>
      <c r="K466" s="803" t="s">
        <v>717</v>
      </c>
      <c r="L466" s="804"/>
      <c r="M466" s="540">
        <f>Calculations!D100</f>
        <v>0</v>
      </c>
      <c r="N466" s="772" t="s">
        <v>658</v>
      </c>
      <c r="O466" s="773"/>
      <c r="P466" s="774" t="str">
        <f>IF(Calculations!D102&gt;2, "Yes", "No")</f>
        <v>No</v>
      </c>
      <c r="Q466" s="775"/>
    </row>
    <row r="467" spans="2:17" ht="13.5" customHeight="1" x14ac:dyDescent="0.15">
      <c r="B467" s="326">
        <f>_Q4</f>
        <v>0</v>
      </c>
      <c r="C467" s="323" t="s">
        <v>635</v>
      </c>
      <c r="D467" s="320" t="s">
        <v>455</v>
      </c>
      <c r="E467" s="43"/>
      <c r="F467" s="101" t="str">
        <f>_T4</f>
        <v>Having an emotion (for example, fear, sadness, anger, happiness) that doesn’t feel like it is 'yours.'</v>
      </c>
      <c r="G467" s="101"/>
      <c r="H467" s="101"/>
      <c r="I467" s="101"/>
      <c r="J467" s="101"/>
      <c r="K467" s="101"/>
      <c r="L467" s="101"/>
      <c r="M467" s="101"/>
      <c r="N467" s="101"/>
      <c r="O467" s="101"/>
      <c r="P467" s="101"/>
      <c r="Q467" s="102"/>
    </row>
    <row r="468" spans="2:17" ht="13.5" customHeight="1" x14ac:dyDescent="0.15">
      <c r="B468" s="317">
        <f>_Q32</f>
        <v>0</v>
      </c>
      <c r="C468" s="324" t="s">
        <v>624</v>
      </c>
      <c r="D468" s="321" t="s">
        <v>471</v>
      </c>
      <c r="E468" s="43"/>
      <c r="F468" s="101" t="str">
        <f>_T32</f>
        <v xml:space="preserve">Strong feelings of emotional pain and hurt that come from out of nowhere.  </v>
      </c>
      <c r="G468" s="101"/>
      <c r="H468" s="101"/>
      <c r="I468" s="101"/>
      <c r="J468" s="101"/>
      <c r="K468" s="101"/>
      <c r="L468" s="101"/>
      <c r="M468" s="101"/>
      <c r="N468" s="101"/>
      <c r="O468" s="101"/>
      <c r="P468" s="101"/>
      <c r="Q468" s="102"/>
    </row>
    <row r="469" spans="2:17" ht="13.5" customHeight="1" x14ac:dyDescent="0.15">
      <c r="B469" s="317">
        <f>_Q57</f>
        <v>0</v>
      </c>
      <c r="C469" s="324" t="s">
        <v>625</v>
      </c>
      <c r="D469" s="321" t="s">
        <v>455</v>
      </c>
      <c r="E469" s="43"/>
      <c r="F469" s="101" t="str">
        <f>_T57</f>
        <v xml:space="preserve">Your moods changing so rapidly that you don’t know what you are going to feel from one minute to the next.  </v>
      </c>
      <c r="G469" s="101"/>
      <c r="H469" s="101"/>
      <c r="I469" s="101"/>
      <c r="J469" s="101"/>
      <c r="K469" s="101"/>
      <c r="L469" s="101"/>
      <c r="M469" s="101"/>
      <c r="N469" s="101"/>
      <c r="O469" s="101"/>
      <c r="P469" s="101"/>
      <c r="Q469" s="102"/>
    </row>
    <row r="470" spans="2:17" ht="13.5" customHeight="1" x14ac:dyDescent="0.15">
      <c r="B470" s="317">
        <f>_Q101</f>
        <v>0</v>
      </c>
      <c r="C470" s="324" t="s">
        <v>626</v>
      </c>
      <c r="D470" s="321" t="s">
        <v>455</v>
      </c>
      <c r="E470" s="43"/>
      <c r="F470" s="101" t="str">
        <f>_T101</f>
        <v xml:space="preserve">Sudden strong feelings of anger that seem to come from out of nowhere. </v>
      </c>
      <c r="G470" s="101"/>
      <c r="H470" s="101"/>
      <c r="I470" s="101"/>
      <c r="J470" s="101"/>
      <c r="K470" s="101"/>
      <c r="L470" s="101"/>
      <c r="M470" s="101"/>
      <c r="N470" s="101"/>
      <c r="O470" s="101"/>
      <c r="P470" s="101"/>
      <c r="Q470" s="102"/>
    </row>
    <row r="471" spans="2:17" ht="13.5" customHeight="1" x14ac:dyDescent="0.15">
      <c r="B471" s="317">
        <f>_Q185</f>
        <v>0</v>
      </c>
      <c r="C471" s="324" t="s">
        <v>627</v>
      </c>
      <c r="D471" s="321" t="s">
        <v>455</v>
      </c>
      <c r="E471" s="43"/>
      <c r="F471" s="101" t="str">
        <f>_T185</f>
        <v>Your mood changing rapidly without any reason.</v>
      </c>
      <c r="G471" s="101"/>
      <c r="H471" s="101"/>
      <c r="I471" s="101"/>
      <c r="J471" s="101"/>
      <c r="K471" s="101"/>
      <c r="L471" s="101"/>
      <c r="M471" s="101"/>
      <c r="N471" s="101"/>
      <c r="O471" s="101"/>
      <c r="P471" s="101"/>
      <c r="Q471" s="102"/>
    </row>
    <row r="472" spans="2:17" ht="13.5" customHeight="1" x14ac:dyDescent="0.15">
      <c r="B472" s="328">
        <f>_Q196</f>
        <v>0</v>
      </c>
      <c r="C472" s="334" t="s">
        <v>629</v>
      </c>
      <c r="D472" s="333" t="s">
        <v>455</v>
      </c>
      <c r="E472" s="43"/>
      <c r="F472" s="101" t="str">
        <f>_T196</f>
        <v>Very strong feelings (for example, fear, or anger, or emotional pain and hurt) that suddenly go away.</v>
      </c>
      <c r="G472" s="101"/>
      <c r="H472" s="101"/>
      <c r="I472" s="101"/>
      <c r="J472" s="101"/>
      <c r="K472" s="101"/>
      <c r="L472" s="101"/>
      <c r="M472" s="101"/>
      <c r="N472" s="101"/>
      <c r="O472" s="101"/>
      <c r="P472" s="101"/>
      <c r="Q472" s="102"/>
    </row>
    <row r="473" spans="2:17" s="101" customFormat="1" ht="13.5" customHeight="1" x14ac:dyDescent="0.15">
      <c r="B473" s="420" t="s">
        <v>664</v>
      </c>
      <c r="C473" s="152"/>
      <c r="D473" s="152"/>
      <c r="E473" s="154"/>
      <c r="F473" s="154"/>
      <c r="G473" s="154"/>
      <c r="H473" s="154"/>
      <c r="I473" s="770" t="s">
        <v>692</v>
      </c>
      <c r="J473" s="771"/>
      <c r="K473" s="803" t="s">
        <v>717</v>
      </c>
      <c r="L473" s="804"/>
      <c r="M473" s="540">
        <f>Calculations!D104</f>
        <v>0</v>
      </c>
      <c r="N473" s="772" t="s">
        <v>658</v>
      </c>
      <c r="O473" s="773"/>
      <c r="P473" s="774" t="str">
        <f>IF(Calculations!D106&gt;2, "Yes", "No")</f>
        <v>No</v>
      </c>
      <c r="Q473" s="775"/>
    </row>
    <row r="474" spans="2:17" ht="13.5" customHeight="1" x14ac:dyDescent="0.15">
      <c r="B474" s="326">
        <f>_Q34</f>
        <v>0</v>
      </c>
      <c r="C474" s="323" t="s">
        <v>630</v>
      </c>
      <c r="D474" s="320" t="s">
        <v>463</v>
      </c>
      <c r="E474" s="43"/>
      <c r="F474" s="101" t="str">
        <f>_T34</f>
        <v>Having strong impulses to do something---but the impulses don’t feel like they belong to you.</v>
      </c>
      <c r="G474" s="101"/>
      <c r="H474" s="101"/>
      <c r="I474" s="101"/>
      <c r="J474" s="101"/>
      <c r="K474" s="101"/>
      <c r="L474" s="101"/>
      <c r="M474" s="101"/>
      <c r="N474" s="101"/>
      <c r="O474" s="101"/>
      <c r="P474" s="101"/>
      <c r="Q474" s="102"/>
    </row>
    <row r="475" spans="2:17" ht="13.5" customHeight="1" x14ac:dyDescent="0.15">
      <c r="B475" s="317">
        <f>_Q112</f>
        <v>0</v>
      </c>
      <c r="C475" s="324" t="s">
        <v>493</v>
      </c>
      <c r="D475" s="321" t="s">
        <v>463</v>
      </c>
      <c r="E475" s="43"/>
      <c r="F475" s="101" t="str">
        <f>_T112</f>
        <v>Feeling the presence of an angry part in your head that tries to control what you do or say.</v>
      </c>
      <c r="G475" s="101"/>
      <c r="H475" s="101"/>
      <c r="I475" s="101"/>
      <c r="J475" s="101"/>
      <c r="K475" s="101"/>
      <c r="L475" s="101"/>
      <c r="M475" s="101"/>
      <c r="N475" s="101"/>
      <c r="O475" s="101"/>
      <c r="P475" s="101"/>
      <c r="Q475" s="102"/>
    </row>
    <row r="476" spans="2:17" ht="13.5" customHeight="1" x14ac:dyDescent="0.15">
      <c r="B476" s="317">
        <f>_Q208</f>
        <v>0</v>
      </c>
      <c r="C476" s="324" t="s">
        <v>494</v>
      </c>
      <c r="D476" s="321" t="s">
        <v>455</v>
      </c>
      <c r="E476" s="43"/>
      <c r="F476" s="101" t="str">
        <f>_T208</f>
        <v>Having a very angry part that ‘comes out’ and says and does things that you would never do or say.</v>
      </c>
      <c r="G476" s="101"/>
      <c r="H476" s="101"/>
      <c r="I476" s="101"/>
      <c r="J476" s="101"/>
      <c r="K476" s="101"/>
      <c r="L476" s="101"/>
      <c r="M476" s="101"/>
      <c r="N476" s="101"/>
      <c r="O476" s="101"/>
      <c r="P476" s="101"/>
      <c r="Q476" s="102"/>
    </row>
    <row r="477" spans="2:17" ht="13.5" customHeight="1" x14ac:dyDescent="0.15">
      <c r="B477" s="317">
        <f>_Q210</f>
        <v>0</v>
      </c>
      <c r="C477" s="324" t="s">
        <v>610</v>
      </c>
      <c r="D477" s="321" t="s">
        <v>453</v>
      </c>
      <c r="E477" s="43"/>
      <c r="F477" s="101" t="str">
        <f>_T210</f>
        <v>Feeling a struggle inside you about what to think, how to feel, what you should do.</v>
      </c>
      <c r="G477" s="101"/>
      <c r="H477" s="101"/>
      <c r="I477" s="101"/>
      <c r="J477" s="101"/>
      <c r="K477" s="101"/>
      <c r="L477" s="101"/>
      <c r="M477" s="101"/>
      <c r="N477" s="101"/>
      <c r="O477" s="101"/>
      <c r="P477" s="101"/>
      <c r="Q477" s="102"/>
    </row>
    <row r="478" spans="2:17" ht="13.5" customHeight="1" x14ac:dyDescent="0.15">
      <c r="B478" s="328">
        <f>_Q212</f>
        <v>0</v>
      </c>
      <c r="C478" s="334" t="s">
        <v>495</v>
      </c>
      <c r="D478" s="333" t="s">
        <v>455</v>
      </c>
      <c r="E478" s="43"/>
      <c r="F478" s="101" t="str">
        <f>_T212</f>
        <v>Feeling that another part or entity inside you tries to stop you from doing or saying something.</v>
      </c>
      <c r="G478" s="101"/>
      <c r="H478" s="101"/>
      <c r="I478" s="101"/>
      <c r="J478" s="101"/>
      <c r="K478" s="101"/>
      <c r="L478" s="101"/>
      <c r="M478" s="101"/>
      <c r="N478" s="101"/>
      <c r="O478" s="101"/>
      <c r="P478" s="101"/>
      <c r="Q478" s="102"/>
    </row>
    <row r="479" spans="2:17" s="101" customFormat="1" ht="13.5" customHeight="1" x14ac:dyDescent="0.15">
      <c r="B479" s="420" t="s">
        <v>665</v>
      </c>
      <c r="C479" s="421"/>
      <c r="D479" s="421"/>
      <c r="E479" s="154"/>
      <c r="F479" s="154"/>
      <c r="G479" s="154"/>
      <c r="H479" s="154"/>
      <c r="I479" s="770" t="s">
        <v>692</v>
      </c>
      <c r="J479" s="771"/>
      <c r="K479" s="803" t="s">
        <v>717</v>
      </c>
      <c r="L479" s="804"/>
      <c r="M479" s="540">
        <f>Calculations!D108</f>
        <v>0</v>
      </c>
      <c r="N479" s="772" t="s">
        <v>658</v>
      </c>
      <c r="O479" s="773"/>
      <c r="P479" s="774" t="str">
        <f>IF(Calculations!D110&gt;2, "Yes", "No")</f>
        <v>No</v>
      </c>
      <c r="Q479" s="775"/>
    </row>
    <row r="480" spans="2:17" ht="13.5" customHeight="1" x14ac:dyDescent="0.15">
      <c r="B480" s="326">
        <f>_Q9</f>
        <v>0</v>
      </c>
      <c r="C480" s="323" t="s">
        <v>617</v>
      </c>
      <c r="D480" s="320" t="s">
        <v>455</v>
      </c>
      <c r="E480" s="43"/>
      <c r="F480" s="101" t="str">
        <f>_T9</f>
        <v>Hearing yourself talk, but you don’t feel that you are choosing the words that are coming out of your mouth.</v>
      </c>
      <c r="G480" s="101"/>
      <c r="H480" s="101"/>
      <c r="I480" s="101"/>
      <c r="J480" s="101"/>
      <c r="K480" s="101"/>
      <c r="L480" s="101"/>
      <c r="M480" s="101"/>
      <c r="N480" s="101"/>
      <c r="O480" s="101"/>
      <c r="P480" s="101"/>
      <c r="Q480" s="102"/>
    </row>
    <row r="481" spans="2:17" ht="13.5" customHeight="1" x14ac:dyDescent="0.15">
      <c r="B481" s="317">
        <f>_Q99</f>
        <v>0</v>
      </c>
      <c r="C481" s="324" t="s">
        <v>618</v>
      </c>
      <c r="D481" s="321" t="s">
        <v>463</v>
      </c>
      <c r="E481" s="43"/>
      <c r="F481" s="101" t="str">
        <f>_T99</f>
        <v>Words just flowing from your mouth as if they were not in your control.</v>
      </c>
      <c r="G481" s="101"/>
      <c r="H481" s="101"/>
      <c r="I481" s="101"/>
      <c r="J481" s="101"/>
      <c r="K481" s="101"/>
      <c r="L481" s="101"/>
      <c r="M481" s="101"/>
      <c r="N481" s="101"/>
      <c r="O481" s="101"/>
      <c r="P481" s="101"/>
      <c r="Q481" s="102"/>
    </row>
    <row r="482" spans="2:17" ht="13.5" customHeight="1" x14ac:dyDescent="0.15">
      <c r="B482" s="317">
        <f>_Q107</f>
        <v>0</v>
      </c>
      <c r="C482" s="324" t="s">
        <v>634</v>
      </c>
      <c r="D482" s="321" t="s">
        <v>463</v>
      </c>
      <c r="E482" s="43"/>
      <c r="F482" s="101" t="str">
        <f>_T107</f>
        <v>Feeling like some of your behavior isn’t really ‘yours.’</v>
      </c>
      <c r="G482" s="101"/>
      <c r="H482" s="101"/>
      <c r="I482" s="101"/>
      <c r="J482" s="101"/>
      <c r="K482" s="101"/>
      <c r="L482" s="101"/>
      <c r="M482" s="101"/>
      <c r="N482" s="101"/>
      <c r="O482" s="101"/>
      <c r="P482" s="101"/>
      <c r="Q482" s="102"/>
    </row>
    <row r="483" spans="2:17" ht="13.5" customHeight="1" x14ac:dyDescent="0.15">
      <c r="B483" s="317">
        <f>_Q117</f>
        <v>0</v>
      </c>
      <c r="C483" s="324" t="s">
        <v>619</v>
      </c>
      <c r="D483" s="321" t="s">
        <v>462</v>
      </c>
      <c r="E483" s="43"/>
      <c r="F483" s="101" t="str">
        <f>_T117</f>
        <v>Words come out of your mouth, but you didn’t say them---you don’t know where those words came from.</v>
      </c>
      <c r="G483" s="101"/>
      <c r="H483" s="101"/>
      <c r="I483" s="101"/>
      <c r="J483" s="101"/>
      <c r="K483" s="101"/>
      <c r="L483" s="101"/>
      <c r="M483" s="101"/>
      <c r="N483" s="101"/>
      <c r="O483" s="101"/>
      <c r="P483" s="101"/>
      <c r="Q483" s="102"/>
    </row>
    <row r="484" spans="2:17" s="32" customFormat="1" ht="14" customHeight="1" x14ac:dyDescent="0.2">
      <c r="B484" s="328">
        <f>_Q161</f>
        <v>0</v>
      </c>
      <c r="C484" s="334" t="s">
        <v>607</v>
      </c>
      <c r="D484" s="333" t="s">
        <v>462</v>
      </c>
      <c r="E484" s="43"/>
      <c r="F484" s="101" t="str">
        <f>_T161</f>
        <v>Feeling as if there is something inside you that takes control of your behavior or speech.</v>
      </c>
      <c r="G484" s="101"/>
      <c r="H484" s="101"/>
      <c r="I484" s="101"/>
      <c r="J484" s="101"/>
      <c r="K484" s="101"/>
      <c r="L484" s="101"/>
      <c r="M484" s="101"/>
      <c r="N484" s="101"/>
      <c r="O484" s="101"/>
      <c r="P484" s="101"/>
      <c r="Q484" s="102"/>
    </row>
    <row r="485" spans="2:17" s="558" customFormat="1" x14ac:dyDescent="0.15">
      <c r="B485" s="151" t="s">
        <v>725</v>
      </c>
      <c r="C485" s="152"/>
      <c r="D485" s="152"/>
      <c r="E485" s="154"/>
      <c r="F485" s="154"/>
      <c r="G485" s="154"/>
      <c r="H485" s="154"/>
      <c r="I485" s="770" t="s">
        <v>693</v>
      </c>
      <c r="J485" s="771"/>
      <c r="K485" s="803" t="s">
        <v>717</v>
      </c>
      <c r="L485" s="804"/>
      <c r="M485" s="540">
        <f>Calculations!D112</f>
        <v>0</v>
      </c>
      <c r="N485" s="772" t="s">
        <v>658</v>
      </c>
      <c r="O485" s="773"/>
      <c r="P485" s="774" t="str">
        <f>IF(Calculations!D114&gt;1, "Yes", "No")</f>
        <v>No</v>
      </c>
      <c r="Q485" s="775"/>
    </row>
    <row r="486" spans="2:17" ht="13" customHeight="1" x14ac:dyDescent="0.15">
      <c r="B486" s="326">
        <f>_Q125</f>
        <v>0</v>
      </c>
      <c r="C486" s="323" t="s">
        <v>557</v>
      </c>
      <c r="D486" s="320" t="s">
        <v>462</v>
      </c>
      <c r="E486" s="43"/>
      <c r="F486" s="101" t="str">
        <f>_T125</f>
        <v>Re-experiencing body sensations from a past traumatic event.</v>
      </c>
      <c r="G486" s="101"/>
      <c r="H486" s="101"/>
      <c r="I486" s="101"/>
      <c r="J486" s="101"/>
      <c r="K486" s="101"/>
      <c r="L486" s="101"/>
      <c r="M486" s="101"/>
      <c r="N486" s="101"/>
      <c r="O486" s="101"/>
      <c r="P486" s="101"/>
      <c r="Q486" s="102"/>
    </row>
    <row r="487" spans="2:17" ht="13" customHeight="1" x14ac:dyDescent="0.15">
      <c r="B487" s="317">
        <f>_Q188</f>
        <v>0</v>
      </c>
      <c r="C487" s="324" t="s">
        <v>513</v>
      </c>
      <c r="D487" s="321" t="s">
        <v>463</v>
      </c>
      <c r="E487" s="43"/>
      <c r="F487" s="101" t="str">
        <f>_T188</f>
        <v xml:space="preserve">Suddenly feeling very small, like a young child. </v>
      </c>
      <c r="G487" s="101"/>
      <c r="H487" s="101"/>
      <c r="I487" s="101"/>
      <c r="J487" s="101"/>
      <c r="K487" s="101"/>
      <c r="L487" s="101"/>
      <c r="M487" s="101"/>
      <c r="N487" s="101"/>
      <c r="O487" s="101"/>
      <c r="P487" s="101"/>
      <c r="Q487" s="102"/>
    </row>
    <row r="488" spans="2:17" ht="13.5" customHeight="1" x14ac:dyDescent="0.15">
      <c r="B488" s="317">
        <f>_Q191</f>
        <v>0</v>
      </c>
      <c r="C488" s="324" t="s">
        <v>637</v>
      </c>
      <c r="D488" s="321" t="s">
        <v>462</v>
      </c>
      <c r="E488" s="43"/>
      <c r="F488" s="101" t="str">
        <f>_T191</f>
        <v xml:space="preserve">Your body suddenly feeling as if it isn’t really yours.  </v>
      </c>
      <c r="G488" s="101"/>
      <c r="H488" s="101"/>
      <c r="I488" s="101"/>
      <c r="J488" s="101"/>
      <c r="K488" s="101"/>
      <c r="L488" s="101"/>
      <c r="M488" s="101"/>
      <c r="N488" s="101"/>
      <c r="O488" s="101"/>
      <c r="P488" s="101"/>
      <c r="Q488" s="102"/>
    </row>
    <row r="489" spans="2:17" ht="13.5" customHeight="1" thickBot="1" x14ac:dyDescent="0.2">
      <c r="B489" s="327">
        <f>_Q203</f>
        <v>0</v>
      </c>
      <c r="C489" s="325" t="s">
        <v>641</v>
      </c>
      <c r="D489" s="322" t="s">
        <v>462</v>
      </c>
      <c r="E489" s="89"/>
      <c r="F489" s="95" t="str">
        <f>_T203</f>
        <v>Feeling that your feet or hands (or other parts of your body) have changed in size.</v>
      </c>
      <c r="G489" s="95"/>
      <c r="H489" s="95"/>
      <c r="I489" s="95"/>
      <c r="J489" s="95"/>
      <c r="K489" s="95"/>
      <c r="L489" s="172"/>
      <c r="M489" s="172"/>
      <c r="N489" s="172"/>
      <c r="O489" s="172"/>
      <c r="P489" s="172"/>
      <c r="Q489" s="173"/>
    </row>
    <row r="490" spans="2:17" ht="15" customHeight="1" thickBot="1" x14ac:dyDescent="0.2">
      <c r="L490" s="792" t="s">
        <v>671</v>
      </c>
      <c r="M490" s="793"/>
      <c r="N490" s="793"/>
      <c r="O490" s="793"/>
      <c r="P490" s="793"/>
      <c r="Q490" s="794"/>
    </row>
    <row r="491" spans="2:17" ht="13.5" customHeight="1" x14ac:dyDescent="0.15"/>
    <row r="492" spans="2:17" ht="13.5" customHeight="1" x14ac:dyDescent="0.15"/>
    <row r="493" spans="2:17" ht="13.5" customHeight="1" thickBot="1" x14ac:dyDescent="0.2">
      <c r="B493" s="33"/>
      <c r="C493" s="33"/>
      <c r="D493" s="33"/>
    </row>
    <row r="494" spans="2:17" ht="16" customHeight="1" thickBot="1" x14ac:dyDescent="0.2">
      <c r="B494" s="1059" t="s">
        <v>696</v>
      </c>
      <c r="C494" s="1060"/>
      <c r="D494" s="1060"/>
      <c r="E494" s="1060"/>
      <c r="F494" s="1060"/>
      <c r="G494" s="1060"/>
      <c r="H494" s="1060"/>
      <c r="I494" s="1060"/>
      <c r="J494" s="1060"/>
      <c r="K494" s="1060"/>
      <c r="L494" s="1060"/>
      <c r="M494" s="1058" t="s">
        <v>767</v>
      </c>
      <c r="N494" s="1058"/>
      <c r="O494" s="1058"/>
      <c r="P494" s="790" t="str">
        <f>Calculations!B122&amp;" of 8"</f>
        <v>0 of 8</v>
      </c>
      <c r="Q494" s="791"/>
    </row>
    <row r="495" spans="2:17" s="101" customFormat="1" ht="13.5" customHeight="1" x14ac:dyDescent="0.15">
      <c r="B495" s="422" t="s">
        <v>666</v>
      </c>
      <c r="C495" s="423"/>
      <c r="D495" s="423"/>
      <c r="E495" s="170"/>
      <c r="F495" s="170"/>
      <c r="G495" s="170"/>
      <c r="H495" s="170"/>
      <c r="I495" s="788" t="s">
        <v>693</v>
      </c>
      <c r="J495" s="789"/>
      <c r="K495" s="856" t="s">
        <v>717</v>
      </c>
      <c r="L495" s="857"/>
      <c r="M495" s="555">
        <f>Calculations!D116</f>
        <v>0</v>
      </c>
      <c r="N495" s="772" t="s">
        <v>658</v>
      </c>
      <c r="O495" s="773"/>
      <c r="P495" s="774" t="str">
        <f>IF(Calculations!D118&gt;1, "Yes", "No")</f>
        <v>No</v>
      </c>
      <c r="Q495" s="775"/>
    </row>
    <row r="496" spans="2:17" ht="13.5" customHeight="1" x14ac:dyDescent="0.15">
      <c r="B496" s="326">
        <f>_Q113</f>
        <v>0</v>
      </c>
      <c r="C496" s="329" t="s">
        <v>534</v>
      </c>
      <c r="D496" s="331" t="s">
        <v>471</v>
      </c>
      <c r="E496" s="43"/>
      <c r="F496" s="101" t="str">
        <f>_T113</f>
        <v xml:space="preserve">Your mind blocking or going totally empty. </v>
      </c>
      <c r="G496" s="101"/>
      <c r="H496" s="101"/>
      <c r="I496" s="101"/>
      <c r="J496" s="101"/>
      <c r="K496" s="101"/>
      <c r="L496" s="101"/>
      <c r="M496" s="101"/>
      <c r="N496" s="101"/>
      <c r="O496" s="101"/>
      <c r="P496" s="101"/>
      <c r="Q496" s="102"/>
    </row>
    <row r="497" spans="2:17" ht="13.5" customHeight="1" x14ac:dyDescent="0.15">
      <c r="B497" s="317">
        <f>_Q120</f>
        <v>0</v>
      </c>
      <c r="C497" s="318" t="s">
        <v>606</v>
      </c>
      <c r="D497" s="319" t="s">
        <v>463</v>
      </c>
      <c r="E497" s="43"/>
      <c r="F497" s="101" t="str">
        <f>_T120</f>
        <v>Something in your mind interferes when you think about things that you ‘shouldn’t’ think about.</v>
      </c>
      <c r="G497" s="101"/>
      <c r="H497" s="101"/>
      <c r="I497" s="101"/>
      <c r="J497" s="101"/>
      <c r="K497" s="101"/>
      <c r="L497" s="101"/>
      <c r="M497" s="101"/>
      <c r="N497" s="101"/>
      <c r="O497" s="101"/>
      <c r="P497" s="101"/>
      <c r="Q497" s="102"/>
    </row>
    <row r="498" spans="2:17" ht="13.5" customHeight="1" x14ac:dyDescent="0.15">
      <c r="B498" s="317">
        <f>_Q198</f>
        <v>0</v>
      </c>
      <c r="C498" s="318" t="s">
        <v>668</v>
      </c>
      <c r="D498" s="319" t="s">
        <v>455</v>
      </c>
      <c r="E498" s="43"/>
      <c r="F498" s="101" t="str">
        <f>_T198</f>
        <v>Some thoughts are suddenly ‘taken away from you.’</v>
      </c>
      <c r="G498" s="101"/>
      <c r="H498" s="101"/>
      <c r="I498" s="101"/>
      <c r="J498" s="101"/>
      <c r="K498" s="101"/>
      <c r="L498" s="101"/>
      <c r="M498" s="101"/>
      <c r="N498" s="101"/>
      <c r="O498" s="101"/>
      <c r="P498" s="101"/>
      <c r="Q498" s="102"/>
    </row>
    <row r="499" spans="2:17" ht="13.5" customHeight="1" x14ac:dyDescent="0.15">
      <c r="B499" s="328">
        <f>_Q209</f>
        <v>0</v>
      </c>
      <c r="C499" s="330" t="s">
        <v>669</v>
      </c>
      <c r="D499" s="332" t="s">
        <v>455</v>
      </c>
      <c r="E499" s="43"/>
      <c r="F499" s="101" t="str">
        <f>_T209</f>
        <v>Feeling like some of your thoughts are removed from your mind---by some force or by some other part of you.</v>
      </c>
      <c r="G499" s="101"/>
      <c r="H499" s="101"/>
      <c r="I499" s="101"/>
      <c r="J499" s="101"/>
      <c r="K499" s="101"/>
      <c r="L499" s="101"/>
      <c r="M499" s="101"/>
      <c r="N499" s="101"/>
      <c r="O499" s="101"/>
      <c r="P499" s="101"/>
      <c r="Q499" s="102"/>
    </row>
    <row r="500" spans="2:17" s="101" customFormat="1" ht="13.5" customHeight="1" x14ac:dyDescent="0.15">
      <c r="B500" s="151" t="s">
        <v>667</v>
      </c>
      <c r="C500" s="152"/>
      <c r="D500" s="152"/>
      <c r="E500" s="154"/>
      <c r="F500" s="154"/>
      <c r="G500" s="154"/>
      <c r="H500" s="154"/>
      <c r="I500" s="770" t="s">
        <v>693</v>
      </c>
      <c r="J500" s="771"/>
      <c r="K500" s="803" t="s">
        <v>717</v>
      </c>
      <c r="L500" s="804"/>
      <c r="M500" s="540">
        <f>Calculations!D120</f>
        <v>0</v>
      </c>
      <c r="N500" s="772" t="s">
        <v>658</v>
      </c>
      <c r="O500" s="773"/>
      <c r="P500" s="774" t="str">
        <f>IF(Calculations!D122&gt;1, "Yes", "No")</f>
        <v>No</v>
      </c>
      <c r="Q500" s="775"/>
    </row>
    <row r="501" spans="2:17" ht="13.5" customHeight="1" x14ac:dyDescent="0.15">
      <c r="B501" s="326">
        <f>_Q20</f>
        <v>0</v>
      </c>
      <c r="C501" s="323" t="s">
        <v>670</v>
      </c>
      <c r="D501" s="320" t="s">
        <v>463</v>
      </c>
      <c r="E501" s="43"/>
      <c r="F501" s="101" t="str">
        <f>_T20</f>
        <v xml:space="preserve">Thoughts being imposed on you or imposed on your mind. </v>
      </c>
      <c r="G501" s="101"/>
      <c r="H501" s="101"/>
      <c r="I501" s="101"/>
      <c r="J501" s="101"/>
      <c r="K501" s="101"/>
      <c r="L501" s="101"/>
      <c r="M501" s="101"/>
      <c r="N501" s="101"/>
      <c r="O501" s="101"/>
      <c r="P501" s="101"/>
      <c r="Q501" s="102"/>
    </row>
    <row r="502" spans="2:17" ht="13.5" customHeight="1" x14ac:dyDescent="0.15">
      <c r="B502" s="317">
        <f>_Q22</f>
        <v>0</v>
      </c>
      <c r="C502" s="324" t="s">
        <v>620</v>
      </c>
      <c r="D502" s="321" t="s">
        <v>455</v>
      </c>
      <c r="E502" s="43"/>
      <c r="F502" s="101" t="str">
        <f>_T22</f>
        <v xml:space="preserve">Strong thoughts in your head that “come from out of nowhere.”  </v>
      </c>
      <c r="G502" s="101"/>
      <c r="H502" s="101"/>
      <c r="I502" s="101"/>
      <c r="J502" s="101"/>
      <c r="K502" s="101"/>
      <c r="L502" s="101"/>
      <c r="M502" s="101"/>
      <c r="N502" s="101"/>
      <c r="O502" s="101"/>
      <c r="P502" s="101"/>
      <c r="Q502" s="102"/>
    </row>
    <row r="503" spans="2:17" ht="13.5" customHeight="1" x14ac:dyDescent="0.15">
      <c r="B503" s="317">
        <f>_Q151</f>
        <v>0</v>
      </c>
      <c r="C503" s="324" t="s">
        <v>622</v>
      </c>
      <c r="D503" s="321" t="s">
        <v>455</v>
      </c>
      <c r="E503" s="43"/>
      <c r="F503" s="101" t="str">
        <f>_T151</f>
        <v xml:space="preserve">Thoughts coming into your mind that you cannot stop. </v>
      </c>
      <c r="G503" s="101"/>
      <c r="H503" s="101"/>
      <c r="I503" s="101"/>
      <c r="J503" s="101"/>
      <c r="K503" s="101"/>
      <c r="L503" s="101"/>
      <c r="M503" s="101"/>
      <c r="N503" s="101"/>
      <c r="O503" s="101"/>
      <c r="P503" s="101"/>
      <c r="Q503" s="102"/>
    </row>
    <row r="504" spans="2:17" ht="13.5" customHeight="1" thickBot="1" x14ac:dyDescent="0.2">
      <c r="B504" s="327">
        <f>_Q180</f>
        <v>0</v>
      </c>
      <c r="C504" s="325" t="s">
        <v>623</v>
      </c>
      <c r="D504" s="322" t="s">
        <v>463</v>
      </c>
      <c r="E504" s="89"/>
      <c r="F504" s="76" t="str">
        <f>_T180</f>
        <v>Having thoughts that don’t really seem to belong to you.</v>
      </c>
      <c r="G504" s="76"/>
      <c r="H504" s="76"/>
      <c r="I504" s="76"/>
      <c r="J504" s="76"/>
      <c r="K504" s="76"/>
      <c r="L504" s="76"/>
      <c r="M504" s="76"/>
      <c r="N504" s="76"/>
      <c r="O504" s="76"/>
      <c r="P504" s="76"/>
      <c r="Q504" s="116"/>
    </row>
    <row r="505" spans="2:17" ht="12" customHeight="1" thickBot="1" x14ac:dyDescent="0.2">
      <c r="B505" s="171"/>
      <c r="C505" s="142"/>
      <c r="D505" s="167"/>
      <c r="E505" s="89"/>
      <c r="F505" s="76"/>
      <c r="G505" s="76"/>
      <c r="H505" s="76"/>
      <c r="I505" s="76"/>
      <c r="J505" s="76"/>
      <c r="K505" s="76"/>
      <c r="L505" s="76"/>
      <c r="M505" s="76"/>
      <c r="N505" s="76"/>
      <c r="O505" s="76"/>
      <c r="P505" s="76"/>
      <c r="Q505" s="76"/>
    </row>
    <row r="506" spans="2:17" ht="16" customHeight="1" thickBot="1" x14ac:dyDescent="0.2">
      <c r="B506" s="726" t="s">
        <v>769</v>
      </c>
      <c r="C506" s="811"/>
      <c r="D506" s="811"/>
      <c r="E506" s="811"/>
      <c r="F506" s="811"/>
      <c r="G506" s="811"/>
      <c r="H506" s="811"/>
      <c r="I506" s="811"/>
      <c r="J506" s="811"/>
      <c r="K506" s="811"/>
      <c r="L506" s="811"/>
      <c r="M506" s="811"/>
      <c r="N506" s="811"/>
      <c r="O506" s="811"/>
      <c r="P506" s="811"/>
      <c r="Q506" s="812"/>
    </row>
    <row r="507" spans="2:17" s="101" customFormat="1" ht="13.5" customHeight="1" x14ac:dyDescent="0.15">
      <c r="B507" s="424" t="s">
        <v>768</v>
      </c>
      <c r="C507" s="425"/>
      <c r="D507" s="425"/>
      <c r="E507" s="241"/>
      <c r="F507" s="241"/>
      <c r="G507" s="241"/>
      <c r="H507" s="241"/>
      <c r="I507" s="241"/>
      <c r="J507" s="241"/>
      <c r="K507" s="241"/>
      <c r="L507" s="543" t="s">
        <v>717</v>
      </c>
      <c r="M507" s="544">
        <f>Calculations!D276</f>
        <v>0</v>
      </c>
      <c r="N507" s="559"/>
      <c r="O507" s="426"/>
      <c r="P507" s="426"/>
      <c r="Q507" s="427"/>
    </row>
    <row r="508" spans="2:17" ht="25" customHeight="1" x14ac:dyDescent="0.15">
      <c r="B508" s="279">
        <f>_Q21</f>
        <v>0</v>
      </c>
      <c r="C508" s="291" t="s">
        <v>484</v>
      </c>
      <c r="D508" s="294" t="s">
        <v>462</v>
      </c>
      <c r="E508" s="92"/>
      <c r="F508" s="787" t="str">
        <f>_T21</f>
        <v>Pretending that something upsetting happened to you so that others would care about you (for example, being raped, military combat, physical or emotional abuse, sexual abuse, etc.).</v>
      </c>
      <c r="G508" s="787"/>
      <c r="H508" s="787"/>
      <c r="I508" s="787"/>
      <c r="J508" s="787"/>
      <c r="K508" s="787"/>
      <c r="L508" s="787"/>
      <c r="M508" s="787"/>
      <c r="N508" s="787"/>
      <c r="O508" s="787"/>
      <c r="P508" s="787"/>
      <c r="Q508" s="158"/>
    </row>
    <row r="509" spans="2:17" ht="13.5" customHeight="1" x14ac:dyDescent="0.15">
      <c r="B509" s="280">
        <f>_Q47</f>
        <v>0</v>
      </c>
      <c r="C509" s="292" t="s">
        <v>465</v>
      </c>
      <c r="D509" s="295" t="s">
        <v>453</v>
      </c>
      <c r="E509" s="91"/>
      <c r="F509" s="101" t="str">
        <f>_T47</f>
        <v xml:space="preserve">Talking to others about how you have been hurt or mistreated.  </v>
      </c>
      <c r="G509" s="101"/>
      <c r="H509" s="101"/>
      <c r="I509" s="101"/>
      <c r="J509" s="101"/>
      <c r="K509" s="101"/>
      <c r="L509" s="101"/>
      <c r="M509" s="101"/>
      <c r="N509" s="101"/>
      <c r="O509" s="101"/>
      <c r="P509" s="101"/>
      <c r="Q509" s="102"/>
    </row>
    <row r="510" spans="2:17" ht="13" customHeight="1" x14ac:dyDescent="0.15">
      <c r="B510" s="317">
        <f>_Q52</f>
        <v>0</v>
      </c>
      <c r="C510" s="318" t="s">
        <v>475</v>
      </c>
      <c r="D510" s="319" t="s">
        <v>462</v>
      </c>
      <c r="E510" s="44"/>
      <c r="F510" s="101" t="str">
        <f>_T52</f>
        <v>Your thoughts being broadcast so that other people can actually hear them.</v>
      </c>
      <c r="G510" s="101"/>
      <c r="H510" s="101"/>
      <c r="I510" s="101"/>
      <c r="J510" s="101"/>
      <c r="K510" s="101"/>
      <c r="L510" s="101"/>
      <c r="M510" s="101"/>
      <c r="N510" s="101"/>
      <c r="O510" s="101"/>
      <c r="P510" s="101"/>
      <c r="Q510" s="102"/>
    </row>
    <row r="511" spans="2:17" ht="13.5" customHeight="1" x14ac:dyDescent="0.15">
      <c r="B511" s="280">
        <f>_Q132</f>
        <v>0</v>
      </c>
      <c r="C511" s="292" t="s">
        <v>438</v>
      </c>
      <c r="D511" s="295" t="s">
        <v>685</v>
      </c>
      <c r="E511" s="91"/>
      <c r="F511" s="101" t="str">
        <f>_T132</f>
        <v xml:space="preserve">Being unable to recall something---then, something “jogs” your memory and you remember it. </v>
      </c>
      <c r="G511" s="101"/>
      <c r="H511" s="101"/>
      <c r="I511" s="101"/>
      <c r="J511" s="101"/>
      <c r="K511" s="101"/>
      <c r="L511" s="101"/>
      <c r="M511" s="101"/>
      <c r="N511" s="101"/>
      <c r="O511" s="101"/>
      <c r="P511" s="101"/>
      <c r="Q511" s="102"/>
    </row>
    <row r="512" spans="2:17" ht="26" customHeight="1" x14ac:dyDescent="0.15">
      <c r="B512" s="281">
        <f>_Q155</f>
        <v>0</v>
      </c>
      <c r="C512" s="293" t="s">
        <v>490</v>
      </c>
      <c r="D512" s="296" t="s">
        <v>455</v>
      </c>
      <c r="E512" s="91"/>
      <c r="F512" s="712" t="str">
        <f>_T155</f>
        <v xml:space="preserve">Exaggerating something bad that once happened to you (for example, rape, military combat, physical or emotional abuse, sexual abuse, mistreatment by your spouse, etc.) in order to get attention or sympathy.  </v>
      </c>
      <c r="G512" s="712"/>
      <c r="H512" s="712"/>
      <c r="I512" s="712"/>
      <c r="J512" s="712"/>
      <c r="K512" s="712"/>
      <c r="L512" s="712"/>
      <c r="M512" s="712"/>
      <c r="N512" s="712"/>
      <c r="O512" s="712"/>
      <c r="P512" s="712"/>
      <c r="Q512" s="104"/>
    </row>
    <row r="513" spans="2:17" s="101" customFormat="1" ht="13" customHeight="1" x14ac:dyDescent="0.15">
      <c r="B513" s="428" t="s">
        <v>398</v>
      </c>
      <c r="C513" s="429"/>
      <c r="D513" s="429"/>
      <c r="E513" s="242"/>
      <c r="F513" s="242"/>
      <c r="G513" s="242"/>
      <c r="H513" s="242"/>
      <c r="I513" s="242"/>
      <c r="J513" s="242"/>
      <c r="K513" s="242"/>
      <c r="L513" s="541" t="s">
        <v>717</v>
      </c>
      <c r="M513" s="542">
        <f>Calculations!D58</f>
        <v>0</v>
      </c>
      <c r="N513" s="430"/>
      <c r="O513" s="243"/>
      <c r="P513" s="243"/>
      <c r="Q513" s="244"/>
    </row>
    <row r="514" spans="2:17" s="101" customFormat="1" ht="13.5" customHeight="1" x14ac:dyDescent="0.15">
      <c r="B514" s="304">
        <f>_Q17</f>
        <v>0</v>
      </c>
      <c r="C514" s="313" t="s">
        <v>632</v>
      </c>
      <c r="D514" s="310" t="s">
        <v>455</v>
      </c>
      <c r="E514" s="114"/>
      <c r="F514" s="101" t="str">
        <f>_T17</f>
        <v>Being puzzled by what you do or say.</v>
      </c>
      <c r="Q514" s="102"/>
    </row>
    <row r="515" spans="2:17" s="101" customFormat="1" ht="13.5" customHeight="1" x14ac:dyDescent="0.15">
      <c r="B515" s="286">
        <f>_Q41</f>
        <v>0</v>
      </c>
      <c r="C515" s="314" t="s">
        <v>697</v>
      </c>
      <c r="D515" s="311" t="s">
        <v>455</v>
      </c>
      <c r="E515" s="114"/>
      <c r="F515" s="101" t="str">
        <f>_T41</f>
        <v>Feeling split or divided inside.</v>
      </c>
      <c r="Q515" s="102"/>
    </row>
    <row r="516" spans="2:17" s="101" customFormat="1" ht="13.5" customHeight="1" x14ac:dyDescent="0.15">
      <c r="B516" s="286">
        <f>_Q49</f>
        <v>0</v>
      </c>
      <c r="C516" s="314" t="s">
        <v>642</v>
      </c>
      <c r="D516" s="311" t="s">
        <v>455</v>
      </c>
      <c r="E516" s="114"/>
      <c r="F516" s="101" t="str">
        <f>_T49</f>
        <v xml:space="preserve">Feeling uncertain about who you really are. </v>
      </c>
      <c r="Q516" s="102"/>
    </row>
    <row r="517" spans="2:17" s="101" customFormat="1" ht="13.5" customHeight="1" x14ac:dyDescent="0.15">
      <c r="B517" s="286">
        <f>_Q57</f>
        <v>0</v>
      </c>
      <c r="C517" s="314" t="s">
        <v>625</v>
      </c>
      <c r="D517" s="311" t="s">
        <v>455</v>
      </c>
      <c r="E517" s="114"/>
      <c r="F517" s="101" t="str">
        <f>_T57</f>
        <v xml:space="preserve">Your moods changing so rapidly that you don’t know what you are going to feel from one minute to the next.  </v>
      </c>
      <c r="Q517" s="102"/>
    </row>
    <row r="518" spans="2:17" s="101" customFormat="1" ht="13" customHeight="1" x14ac:dyDescent="0.15">
      <c r="B518" s="286">
        <f>_Q89</f>
        <v>0</v>
      </c>
      <c r="C518" s="314" t="s">
        <v>643</v>
      </c>
      <c r="D518" s="311" t="s">
        <v>455</v>
      </c>
      <c r="E518" s="114"/>
      <c r="F518" s="101" t="str">
        <f>_T89</f>
        <v>Feeling very confused about who you really are.</v>
      </c>
      <c r="Q518" s="102"/>
    </row>
    <row r="519" spans="2:17" s="101" customFormat="1" ht="13.5" customHeight="1" x14ac:dyDescent="0.15">
      <c r="B519" s="286">
        <f>_Q146</f>
        <v>0</v>
      </c>
      <c r="C519" s="314" t="s">
        <v>621</v>
      </c>
      <c r="D519" s="311" t="s">
        <v>455</v>
      </c>
      <c r="E519" s="114"/>
      <c r="F519" s="101" t="str">
        <f>_T146</f>
        <v xml:space="preserve">Your thoughts and feelings are so changeable that you don’t understand yourself. </v>
      </c>
      <c r="Q519" s="102"/>
    </row>
    <row r="520" spans="2:17" s="101" customFormat="1" ht="13.5" customHeight="1" x14ac:dyDescent="0.15">
      <c r="B520" s="286">
        <f>_Q148</f>
        <v>0</v>
      </c>
      <c r="C520" s="314" t="s">
        <v>698</v>
      </c>
      <c r="D520" s="311" t="s">
        <v>455</v>
      </c>
      <c r="E520" s="114"/>
      <c r="F520" s="101" t="str">
        <f>_T148</f>
        <v>Not feeling together, not feeling whole.</v>
      </c>
      <c r="Q520" s="102"/>
    </row>
    <row r="521" spans="2:17" s="101" customFormat="1" ht="13.5" customHeight="1" x14ac:dyDescent="0.15">
      <c r="B521" s="286">
        <f>_Q158</f>
        <v>0</v>
      </c>
      <c r="C521" s="314" t="s">
        <v>644</v>
      </c>
      <c r="D521" s="311" t="s">
        <v>471</v>
      </c>
      <c r="E521" s="114"/>
      <c r="F521" s="101" t="str">
        <f>_T158</f>
        <v>Feeling like you are not the same kind of person all the time.</v>
      </c>
      <c r="Q521" s="102"/>
    </row>
    <row r="522" spans="2:17" s="101" customFormat="1" ht="13" customHeight="1" x14ac:dyDescent="0.15">
      <c r="B522" s="286">
        <f>_Q165</f>
        <v>0</v>
      </c>
      <c r="C522" s="314" t="s">
        <v>645</v>
      </c>
      <c r="D522" s="311" t="s">
        <v>471</v>
      </c>
      <c r="E522" s="114"/>
      <c r="F522" s="101" t="str">
        <f>_T165</f>
        <v>Wishing you knew why you feel and behave the way you do.</v>
      </c>
      <c r="Q522" s="102"/>
    </row>
    <row r="523" spans="2:17" s="101" customFormat="1" ht="13.5" customHeight="1" x14ac:dyDescent="0.15">
      <c r="B523" s="286">
        <f>_Q190</f>
        <v>0</v>
      </c>
      <c r="C523" s="314" t="s">
        <v>608</v>
      </c>
      <c r="D523" s="311" t="s">
        <v>455</v>
      </c>
      <c r="E523" s="114"/>
      <c r="F523" s="101" t="str">
        <f>_T190</f>
        <v xml:space="preserve">Feeling as if there is a struggle going on inside of you about who you really are.  </v>
      </c>
      <c r="Q523" s="102"/>
    </row>
    <row r="524" spans="2:17" s="101" customFormat="1" ht="13" customHeight="1" x14ac:dyDescent="0.15">
      <c r="B524" s="286">
        <f>_Q193</f>
        <v>0</v>
      </c>
      <c r="C524" s="314" t="s">
        <v>628</v>
      </c>
      <c r="D524" s="311" t="s">
        <v>455</v>
      </c>
      <c r="E524" s="114"/>
      <c r="F524" s="101" t="str">
        <f>_T193</f>
        <v>Being confused or puzzled by your emotions.</v>
      </c>
      <c r="Q524" s="102"/>
    </row>
    <row r="525" spans="2:17" s="101" customFormat="1" ht="13.5" customHeight="1" x14ac:dyDescent="0.15">
      <c r="B525" s="316">
        <f>_Q210</f>
        <v>0</v>
      </c>
      <c r="C525" s="315" t="s">
        <v>610</v>
      </c>
      <c r="D525" s="312" t="s">
        <v>453</v>
      </c>
      <c r="E525" s="114"/>
      <c r="F525" s="101" t="str">
        <f>_T210</f>
        <v>Feeling a struggle inside you about what to think, how to feel, what you should do.</v>
      </c>
      <c r="Q525" s="102"/>
    </row>
    <row r="526" spans="2:17" s="101" customFormat="1" ht="13.5" customHeight="1" x14ac:dyDescent="0.15">
      <c r="B526" s="428" t="s">
        <v>399</v>
      </c>
      <c r="C526" s="429"/>
      <c r="D526" s="429"/>
      <c r="E526" s="242"/>
      <c r="F526" s="242"/>
      <c r="G526" s="242"/>
      <c r="H526" s="242"/>
      <c r="I526" s="242"/>
      <c r="J526" s="242"/>
      <c r="K526" s="242"/>
      <c r="L526" s="541" t="s">
        <v>717</v>
      </c>
      <c r="M526" s="542">
        <f>Calculations!D280</f>
        <v>0</v>
      </c>
      <c r="N526" s="430"/>
      <c r="O526" s="243"/>
      <c r="P526" s="243"/>
      <c r="Q526" s="244"/>
    </row>
    <row r="527" spans="2:17" s="101" customFormat="1" ht="13.5" customHeight="1" x14ac:dyDescent="0.15">
      <c r="B527" s="304">
        <f>_Q29</f>
        <v>0</v>
      </c>
      <c r="C527" s="306" t="s">
        <v>441</v>
      </c>
      <c r="D527" s="308" t="s">
        <v>453</v>
      </c>
      <c r="E527" s="114"/>
      <c r="F527" s="101" t="str">
        <f>_T29</f>
        <v>Nobody cares about you.</v>
      </c>
      <c r="Q527" s="102"/>
    </row>
    <row r="528" spans="2:17" s="101" customFormat="1" ht="13.5" customHeight="1" x14ac:dyDescent="0.15">
      <c r="B528" s="286">
        <f>_Q35</f>
        <v>0</v>
      </c>
      <c r="C528" s="289" t="s">
        <v>442</v>
      </c>
      <c r="D528" s="302" t="s">
        <v>453</v>
      </c>
      <c r="E528" s="114"/>
      <c r="F528" s="101" t="str">
        <f>_T35</f>
        <v>Feeling empty and painfully alone.</v>
      </c>
      <c r="Q528" s="102"/>
    </row>
    <row r="529" spans="2:17" s="101" customFormat="1" ht="14" customHeight="1" x14ac:dyDescent="0.15">
      <c r="B529" s="286">
        <f>_Q54</f>
        <v>0</v>
      </c>
      <c r="C529" s="289" t="s">
        <v>444</v>
      </c>
      <c r="D529" s="302" t="s">
        <v>454</v>
      </c>
      <c r="E529" s="114"/>
      <c r="F529" s="101" t="str">
        <f>_T54</f>
        <v>Being rejected by others.</v>
      </c>
      <c r="Q529" s="102"/>
    </row>
    <row r="530" spans="2:17" s="101" customFormat="1" ht="14" customHeight="1" x14ac:dyDescent="0.15">
      <c r="B530" s="286">
        <f>_Q111</f>
        <v>0</v>
      </c>
      <c r="C530" s="289" t="s">
        <v>450</v>
      </c>
      <c r="D530" s="302" t="s">
        <v>454</v>
      </c>
      <c r="E530" s="114"/>
      <c r="F530" s="101" t="str">
        <f>_T111</f>
        <v xml:space="preserve">Desperately wanting to talk to someone about your pain or distress.  </v>
      </c>
      <c r="Q530" s="102"/>
    </row>
    <row r="531" spans="2:17" s="101" customFormat="1" ht="13" customHeight="1" x14ac:dyDescent="0.15">
      <c r="B531" s="286">
        <f>_Q124</f>
        <v>0</v>
      </c>
      <c r="C531" s="289" t="s">
        <v>451</v>
      </c>
      <c r="D531" s="302" t="s">
        <v>456</v>
      </c>
      <c r="E531" s="114"/>
      <c r="F531" s="101" t="str">
        <f>_T124</f>
        <v xml:space="preserve">Feeling hurt. </v>
      </c>
      <c r="Q531" s="102"/>
    </row>
    <row r="532" spans="2:17" s="101" customFormat="1" ht="14" thickBot="1" x14ac:dyDescent="0.2">
      <c r="B532" s="305">
        <f>_Q213</f>
        <v>0</v>
      </c>
      <c r="C532" s="307" t="s">
        <v>452</v>
      </c>
      <c r="D532" s="309" t="s">
        <v>453</v>
      </c>
      <c r="E532" s="212"/>
      <c r="F532" s="95" t="str">
        <f>_T213</f>
        <v>Wishing that someone would finally realize how much you hurt.</v>
      </c>
      <c r="G532" s="95"/>
      <c r="H532" s="95"/>
      <c r="I532" s="95"/>
      <c r="J532" s="95"/>
      <c r="K532" s="95"/>
      <c r="L532" s="95"/>
      <c r="M532" s="95"/>
      <c r="N532" s="95"/>
      <c r="O532" s="95"/>
      <c r="P532" s="95"/>
      <c r="Q532" s="105"/>
    </row>
    <row r="533" spans="2:17" x14ac:dyDescent="0.15">
      <c r="B533" s="43"/>
      <c r="C533" s="43"/>
      <c r="D533" s="43"/>
    </row>
    <row r="534" spans="2:17" x14ac:dyDescent="0.15">
      <c r="B534" s="45"/>
      <c r="C534" s="114"/>
      <c r="D534" s="45"/>
      <c r="E534" s="45"/>
    </row>
    <row r="535" spans="2:17" x14ac:dyDescent="0.15">
      <c r="B535" s="45"/>
      <c r="C535" s="114"/>
      <c r="D535" s="45"/>
      <c r="E535" s="45"/>
    </row>
    <row r="536" spans="2:17" x14ac:dyDescent="0.15">
      <c r="B536" s="45"/>
      <c r="C536" s="114"/>
      <c r="D536" s="45"/>
      <c r="E536" s="45"/>
    </row>
    <row r="537" spans="2:17" x14ac:dyDescent="0.15">
      <c r="B537" s="45"/>
      <c r="C537" s="114"/>
      <c r="D537" s="45"/>
      <c r="E537" s="45"/>
    </row>
    <row r="538" spans="2:17" x14ac:dyDescent="0.15">
      <c r="C538" s="114"/>
    </row>
    <row r="539" spans="2:17" x14ac:dyDescent="0.15">
      <c r="C539" s="114"/>
    </row>
    <row r="540" spans="2:17" x14ac:dyDescent="0.15">
      <c r="C540" s="114"/>
    </row>
    <row r="541" spans="2:17" x14ac:dyDescent="0.15">
      <c r="C541" s="114"/>
    </row>
    <row r="542" spans="2:17" x14ac:dyDescent="0.15">
      <c r="C542" s="114"/>
    </row>
    <row r="543" spans="2:17" x14ac:dyDescent="0.15">
      <c r="C543" s="114"/>
    </row>
    <row r="544" spans="2:17" x14ac:dyDescent="0.15">
      <c r="C544" s="114"/>
    </row>
    <row r="545" spans="3:3" x14ac:dyDescent="0.15">
      <c r="C545" s="114"/>
    </row>
  </sheetData>
  <sheetProtection algorithmName="SHA-512" hashValue="U7e67MHYsD7e9o9WmSKwFeOQQCr1vHhsKh85Qx2eBjIbTvmezOaKAbOnJjD39O73ODSBZWtklViYrUsn6Y9yEg==" saltValue="Fw5TXNOek0A3EaZyW3ZkBA==" spinCount="100000" sheet="1" scenarios="1" selectLockedCells="1" selectUnlockedCells="1"/>
  <customSheetViews>
    <customSheetView guid="{B1378614-543A-7248-A620-ABE87072D4CE}" scale="140" showGridLines="0" showRowCol="0" showRuler="0" topLeftCell="A23">
      <selection activeCell="N52" sqref="N52:O52"/>
      <rowBreaks count="5" manualBreakCount="5">
        <brk id="77" max="17" man="1"/>
        <brk id="140" max="17" man="1"/>
        <brk id="273" max="17" man="1"/>
        <brk id="349" max="17" man="1"/>
        <brk id="489" max="17" man="1"/>
      </rowBreaks>
      <pageMargins left="0.394666666666667" right="0.419333333333333" top="0.33" bottom="0.3" header="0" footer="0.15"/>
      <printOptions horizontalCentered="1"/>
      <pageSetup scale="75" orientation="portrait"/>
      <headerFooter>
        <oddFooter>&amp;CPage &amp;P of 8</oddFooter>
      </headerFooter>
    </customSheetView>
    <customSheetView guid="{DB569172-C410-4CCD-B270-56E8B6227EED}" scale="140" showGridLines="0" showRowCol="0" showRuler="0" topLeftCell="A49">
      <selection activeCell="N52" sqref="N52:O52"/>
      <rowBreaks count="5" manualBreakCount="5">
        <brk id="77" max="17" man="1"/>
        <brk id="140" max="17" man="1"/>
        <brk id="273" max="17" man="1"/>
        <brk id="349" max="17" man="1"/>
        <brk id="489" max="17" man="1"/>
      </rowBreaks>
      <pageMargins left="0.394666666666667" right="0.419333333333333" top="0.33" bottom="0.3" header="0" footer="0.15"/>
      <printOptions horizontalCentered="1"/>
      <pageSetup scale="75" orientation="portrait"/>
      <headerFooter>
        <oddFooter>&amp;CPage &amp;P of 8</oddFooter>
      </headerFooter>
    </customSheetView>
  </customSheetViews>
  <mergeCells count="400">
    <mergeCell ref="K500:L500"/>
    <mergeCell ref="K387:L387"/>
    <mergeCell ref="K392:L392"/>
    <mergeCell ref="K398:L398"/>
    <mergeCell ref="K403:L403"/>
    <mergeCell ref="K408:L408"/>
    <mergeCell ref="K417:L417"/>
    <mergeCell ref="K422:L422"/>
    <mergeCell ref="K430:L430"/>
    <mergeCell ref="K438:L438"/>
    <mergeCell ref="F409:O409"/>
    <mergeCell ref="F402:P402"/>
    <mergeCell ref="F410:P410"/>
    <mergeCell ref="P422:Q422"/>
    <mergeCell ref="I398:J398"/>
    <mergeCell ref="I403:J403"/>
    <mergeCell ref="I408:J408"/>
    <mergeCell ref="K440:L440"/>
    <mergeCell ref="K445:L445"/>
    <mergeCell ref="P485:Q485"/>
    <mergeCell ref="P408:Q408"/>
    <mergeCell ref="P403:Q403"/>
    <mergeCell ref="M456:O456"/>
    <mergeCell ref="K457:L457"/>
    <mergeCell ref="K331:L331"/>
    <mergeCell ref="K335:L335"/>
    <mergeCell ref="K352:L352"/>
    <mergeCell ref="K358:L358"/>
    <mergeCell ref="K371:L371"/>
    <mergeCell ref="K382:L382"/>
    <mergeCell ref="B351:Q351"/>
    <mergeCell ref="K485:L485"/>
    <mergeCell ref="K495:L495"/>
    <mergeCell ref="M494:O494"/>
    <mergeCell ref="B494:L494"/>
    <mergeCell ref="B456:L456"/>
    <mergeCell ref="P382:Q382"/>
    <mergeCell ref="P371:Q371"/>
    <mergeCell ref="P358:Q358"/>
    <mergeCell ref="P331:Q331"/>
    <mergeCell ref="N387:O387"/>
    <mergeCell ref="F390:P390"/>
    <mergeCell ref="F400:P400"/>
    <mergeCell ref="N352:O352"/>
    <mergeCell ref="N358:O358"/>
    <mergeCell ref="M345:Q345"/>
    <mergeCell ref="I382:J382"/>
    <mergeCell ref="I387:J387"/>
    <mergeCell ref="K317:L317"/>
    <mergeCell ref="K323:L323"/>
    <mergeCell ref="I276:J276"/>
    <mergeCell ref="N317:O317"/>
    <mergeCell ref="N313:O313"/>
    <mergeCell ref="I296:J296"/>
    <mergeCell ref="I307:J307"/>
    <mergeCell ref="I313:J313"/>
    <mergeCell ref="N307:O307"/>
    <mergeCell ref="P307:Q307"/>
    <mergeCell ref="P313:Q313"/>
    <mergeCell ref="I292:J292"/>
    <mergeCell ref="K257:L257"/>
    <mergeCell ref="K276:L276"/>
    <mergeCell ref="K292:L292"/>
    <mergeCell ref="K296:L296"/>
    <mergeCell ref="K307:L307"/>
    <mergeCell ref="B291:Q291"/>
    <mergeCell ref="K313:L313"/>
    <mergeCell ref="N276:O276"/>
    <mergeCell ref="M270:Q270"/>
    <mergeCell ref="I257:J257"/>
    <mergeCell ref="P257:Q257"/>
    <mergeCell ref="B45:E45"/>
    <mergeCell ref="F46:G46"/>
    <mergeCell ref="F47:G47"/>
    <mergeCell ref="B70:H70"/>
    <mergeCell ref="N382:O382"/>
    <mergeCell ref="N371:O371"/>
    <mergeCell ref="N323:O323"/>
    <mergeCell ref="N296:O296"/>
    <mergeCell ref="P276:Q276"/>
    <mergeCell ref="B381:Q381"/>
    <mergeCell ref="B46:E46"/>
    <mergeCell ref="B47:E47"/>
    <mergeCell ref="H45:I45"/>
    <mergeCell ref="I317:J317"/>
    <mergeCell ref="I323:J323"/>
    <mergeCell ref="I331:J331"/>
    <mergeCell ref="I335:J335"/>
    <mergeCell ref="P292:Q292"/>
    <mergeCell ref="P296:Q296"/>
    <mergeCell ref="P352:Q352"/>
    <mergeCell ref="I352:J352"/>
    <mergeCell ref="I358:J358"/>
    <mergeCell ref="I371:J371"/>
    <mergeCell ref="F356:P356"/>
    <mergeCell ref="L50:Q50"/>
    <mergeCell ref="B74:G74"/>
    <mergeCell ref="I70:J70"/>
    <mergeCell ref="B63:G63"/>
    <mergeCell ref="I72:J72"/>
    <mergeCell ref="I74:J74"/>
    <mergeCell ref="I75:J75"/>
    <mergeCell ref="L67:O67"/>
    <mergeCell ref="B69:G69"/>
    <mergeCell ref="I51:J51"/>
    <mergeCell ref="I58:J58"/>
    <mergeCell ref="I68:J68"/>
    <mergeCell ref="I67:J67"/>
    <mergeCell ref="B67:G67"/>
    <mergeCell ref="N55:O55"/>
    <mergeCell ref="N56:O56"/>
    <mergeCell ref="N52:O52"/>
    <mergeCell ref="L56:M56"/>
    <mergeCell ref="L57:M57"/>
    <mergeCell ref="B61:G61"/>
    <mergeCell ref="B62:G62"/>
    <mergeCell ref="N35:O35"/>
    <mergeCell ref="N36:O36"/>
    <mergeCell ref="N37:O37"/>
    <mergeCell ref="P317:Q317"/>
    <mergeCell ref="P323:Q323"/>
    <mergeCell ref="P335:Q335"/>
    <mergeCell ref="B75:G75"/>
    <mergeCell ref="N58:O58"/>
    <mergeCell ref="I71:J71"/>
    <mergeCell ref="L68:Q76"/>
    <mergeCell ref="L59:M59"/>
    <mergeCell ref="L58:M58"/>
    <mergeCell ref="L51:M51"/>
    <mergeCell ref="L62:Q62"/>
    <mergeCell ref="B39:E39"/>
    <mergeCell ref="B52:G52"/>
    <mergeCell ref="B53:G53"/>
    <mergeCell ref="B54:G54"/>
    <mergeCell ref="B55:G55"/>
    <mergeCell ref="B56:G56"/>
    <mergeCell ref="B57:G57"/>
    <mergeCell ref="B42:J42"/>
    <mergeCell ref="N40:O40"/>
    <mergeCell ref="I69:J69"/>
    <mergeCell ref="B4:Q4"/>
    <mergeCell ref="N33:O33"/>
    <mergeCell ref="N34:O34"/>
    <mergeCell ref="H32:I32"/>
    <mergeCell ref="H33:I33"/>
    <mergeCell ref="H34:I34"/>
    <mergeCell ref="F32:G32"/>
    <mergeCell ref="N32:O32"/>
    <mergeCell ref="L33:M33"/>
    <mergeCell ref="B10:Q10"/>
    <mergeCell ref="B18:O18"/>
    <mergeCell ref="B33:E33"/>
    <mergeCell ref="B34:E34"/>
    <mergeCell ref="B7:C7"/>
    <mergeCell ref="M7:P7"/>
    <mergeCell ref="M8:P8"/>
    <mergeCell ref="M6:P6"/>
    <mergeCell ref="N46:O46"/>
    <mergeCell ref="N39:O39"/>
    <mergeCell ref="B25:P26"/>
    <mergeCell ref="B11:O11"/>
    <mergeCell ref="B6:C6"/>
    <mergeCell ref="B32:E32"/>
    <mergeCell ref="L32:M32"/>
    <mergeCell ref="F33:G33"/>
    <mergeCell ref="F34:G34"/>
    <mergeCell ref="F35:G35"/>
    <mergeCell ref="F36:G36"/>
    <mergeCell ref="B21:O21"/>
    <mergeCell ref="B17:Q17"/>
    <mergeCell ref="B35:E35"/>
    <mergeCell ref="L35:M35"/>
    <mergeCell ref="B19:P20"/>
    <mergeCell ref="B28:P29"/>
    <mergeCell ref="B8:C8"/>
    <mergeCell ref="B22:P24"/>
    <mergeCell ref="H35:I35"/>
    <mergeCell ref="B27:Q27"/>
    <mergeCell ref="H43:I43"/>
    <mergeCell ref="B40:E40"/>
    <mergeCell ref="H36:I36"/>
    <mergeCell ref="N43:O43"/>
    <mergeCell ref="H37:I37"/>
    <mergeCell ref="H38:I38"/>
    <mergeCell ref="B36:E36"/>
    <mergeCell ref="B37:E37"/>
    <mergeCell ref="N38:O38"/>
    <mergeCell ref="F38:G38"/>
    <mergeCell ref="F37:G37"/>
    <mergeCell ref="B44:E44"/>
    <mergeCell ref="B43:E43"/>
    <mergeCell ref="L43:M43"/>
    <mergeCell ref="F40:I40"/>
    <mergeCell ref="F43:G43"/>
    <mergeCell ref="N44:O44"/>
    <mergeCell ref="H44:I44"/>
    <mergeCell ref="F39:G39"/>
    <mergeCell ref="F44:G44"/>
    <mergeCell ref="N48:O48"/>
    <mergeCell ref="L48:M48"/>
    <mergeCell ref="B64:G64"/>
    <mergeCell ref="B66:G66"/>
    <mergeCell ref="I52:J52"/>
    <mergeCell ref="L53:M53"/>
    <mergeCell ref="I76:J76"/>
    <mergeCell ref="B72:G72"/>
    <mergeCell ref="B71:G71"/>
    <mergeCell ref="B76:G76"/>
    <mergeCell ref="B50:G50"/>
    <mergeCell ref="B51:G51"/>
    <mergeCell ref="B73:G73"/>
    <mergeCell ref="B65:G65"/>
    <mergeCell ref="B68:G68"/>
    <mergeCell ref="L63:Q66"/>
    <mergeCell ref="N53:O53"/>
    <mergeCell ref="N59:O59"/>
    <mergeCell ref="B60:G60"/>
    <mergeCell ref="B59:G59"/>
    <mergeCell ref="I66:J66"/>
    <mergeCell ref="L54:M54"/>
    <mergeCell ref="L55:M55"/>
    <mergeCell ref="I55:J55"/>
    <mergeCell ref="P83:Q83"/>
    <mergeCell ref="F137:P137"/>
    <mergeCell ref="B82:Q82"/>
    <mergeCell ref="F97:P97"/>
    <mergeCell ref="F145:P145"/>
    <mergeCell ref="N96:O96"/>
    <mergeCell ref="F131:P131"/>
    <mergeCell ref="F132:P132"/>
    <mergeCell ref="P122:Q122"/>
    <mergeCell ref="P96:Q96"/>
    <mergeCell ref="F98:P98"/>
    <mergeCell ref="N109:O109"/>
    <mergeCell ref="F84:O84"/>
    <mergeCell ref="P130:Q130"/>
    <mergeCell ref="P109:Q109"/>
    <mergeCell ref="N83:O83"/>
    <mergeCell ref="K205:L205"/>
    <mergeCell ref="K218:L218"/>
    <mergeCell ref="K231:L231"/>
    <mergeCell ref="P218:Q218"/>
    <mergeCell ref="I205:J205"/>
    <mergeCell ref="I218:J218"/>
    <mergeCell ref="F214:P214"/>
    <mergeCell ref="P205:Q205"/>
    <mergeCell ref="F149:P149"/>
    <mergeCell ref="F224:P224"/>
    <mergeCell ref="F146:P146"/>
    <mergeCell ref="N184:O184"/>
    <mergeCell ref="P184:Q184"/>
    <mergeCell ref="N168:O168"/>
    <mergeCell ref="F157:P157"/>
    <mergeCell ref="F103:P103"/>
    <mergeCell ref="N122:O122"/>
    <mergeCell ref="F104:P104"/>
    <mergeCell ref="F129:P129"/>
    <mergeCell ref="F107:P107"/>
    <mergeCell ref="F151:P151"/>
    <mergeCell ref="F152:P152"/>
    <mergeCell ref="F133:P133"/>
    <mergeCell ref="N143:O143"/>
    <mergeCell ref="P143:Q143"/>
    <mergeCell ref="S37:T37"/>
    <mergeCell ref="L36:M36"/>
    <mergeCell ref="L38:M38"/>
    <mergeCell ref="L37:M37"/>
    <mergeCell ref="L39:M39"/>
    <mergeCell ref="L40:M40"/>
    <mergeCell ref="I65:J65"/>
    <mergeCell ref="I64:J64"/>
    <mergeCell ref="I63:J63"/>
    <mergeCell ref="I62:J62"/>
    <mergeCell ref="I61:J61"/>
    <mergeCell ref="I60:J60"/>
    <mergeCell ref="I59:J59"/>
    <mergeCell ref="I57:J57"/>
    <mergeCell ref="I56:J56"/>
    <mergeCell ref="H39:I39"/>
    <mergeCell ref="I54:J54"/>
    <mergeCell ref="L44:M44"/>
    <mergeCell ref="L45:M45"/>
    <mergeCell ref="L46:M46"/>
    <mergeCell ref="L47:M47"/>
    <mergeCell ref="L52:M52"/>
    <mergeCell ref="B49:H49"/>
    <mergeCell ref="I50:J50"/>
    <mergeCell ref="F512:P512"/>
    <mergeCell ref="F177:P177"/>
    <mergeCell ref="F179:P179"/>
    <mergeCell ref="F180:P180"/>
    <mergeCell ref="I500:J500"/>
    <mergeCell ref="N500:O500"/>
    <mergeCell ref="P500:Q500"/>
    <mergeCell ref="B506:Q506"/>
    <mergeCell ref="F245:P245"/>
    <mergeCell ref="F253:P253"/>
    <mergeCell ref="F247:P247"/>
    <mergeCell ref="F395:P395"/>
    <mergeCell ref="F396:P396"/>
    <mergeCell ref="F198:P198"/>
    <mergeCell ref="F201:P201"/>
    <mergeCell ref="F199:P199"/>
    <mergeCell ref="F363:P363"/>
    <mergeCell ref="N197:O197"/>
    <mergeCell ref="P197:Q197"/>
    <mergeCell ref="P244:Q244"/>
    <mergeCell ref="K244:L244"/>
    <mergeCell ref="N292:O292"/>
    <mergeCell ref="N331:O331"/>
    <mergeCell ref="N335:O335"/>
    <mergeCell ref="F508:P508"/>
    <mergeCell ref="I495:J495"/>
    <mergeCell ref="N495:O495"/>
    <mergeCell ref="P495:Q495"/>
    <mergeCell ref="I485:J485"/>
    <mergeCell ref="N485:O485"/>
    <mergeCell ref="P494:Q494"/>
    <mergeCell ref="L490:Q490"/>
    <mergeCell ref="N417:O417"/>
    <mergeCell ref="N422:O422"/>
    <mergeCell ref="P417:Q417"/>
    <mergeCell ref="P473:Q473"/>
    <mergeCell ref="I479:J479"/>
    <mergeCell ref="N479:O479"/>
    <mergeCell ref="P479:Q479"/>
    <mergeCell ref="P456:Q456"/>
    <mergeCell ref="I457:J457"/>
    <mergeCell ref="N457:O457"/>
    <mergeCell ref="K459:L459"/>
    <mergeCell ref="K466:L466"/>
    <mergeCell ref="K473:L473"/>
    <mergeCell ref="K479:L479"/>
    <mergeCell ref="I459:J459"/>
    <mergeCell ref="N459:O459"/>
    <mergeCell ref="P457:Q457"/>
    <mergeCell ref="I466:J466"/>
    <mergeCell ref="N466:O466"/>
    <mergeCell ref="P466:Q466"/>
    <mergeCell ref="I473:J473"/>
    <mergeCell ref="N473:O473"/>
    <mergeCell ref="N398:O398"/>
    <mergeCell ref="N403:O403"/>
    <mergeCell ref="I392:J392"/>
    <mergeCell ref="N408:O408"/>
    <mergeCell ref="P398:Q398"/>
    <mergeCell ref="P392:Q392"/>
    <mergeCell ref="B416:Q416"/>
    <mergeCell ref="F411:P411"/>
    <mergeCell ref="F397:P397"/>
    <mergeCell ref="P459:Q459"/>
    <mergeCell ref="K453:L453"/>
    <mergeCell ref="A1:R1"/>
    <mergeCell ref="A3:R3"/>
    <mergeCell ref="A2:R2"/>
    <mergeCell ref="A78:R78"/>
    <mergeCell ref="A79:R79"/>
    <mergeCell ref="B12:D12"/>
    <mergeCell ref="B13:D13"/>
    <mergeCell ref="B14:D14"/>
    <mergeCell ref="B15:D15"/>
    <mergeCell ref="F12:Q12"/>
    <mergeCell ref="F14:P14"/>
    <mergeCell ref="F15:P15"/>
    <mergeCell ref="F16:P16"/>
    <mergeCell ref="I53:J53"/>
    <mergeCell ref="H46:I46"/>
    <mergeCell ref="H47:I47"/>
    <mergeCell ref="N51:O51"/>
    <mergeCell ref="B58:H58"/>
    <mergeCell ref="N57:O57"/>
    <mergeCell ref="N47:O47"/>
    <mergeCell ref="I73:J73"/>
    <mergeCell ref="I49:J49"/>
    <mergeCell ref="N54:O54"/>
    <mergeCell ref="F45:G45"/>
    <mergeCell ref="N45:O45"/>
    <mergeCell ref="N392:O392"/>
    <mergeCell ref="N231:O231"/>
    <mergeCell ref="N244:O244"/>
    <mergeCell ref="N257:O257"/>
    <mergeCell ref="F161:P161"/>
    <mergeCell ref="F163:P163"/>
    <mergeCell ref="B275:Q275"/>
    <mergeCell ref="B204:Q204"/>
    <mergeCell ref="B167:Q167"/>
    <mergeCell ref="F136:P136"/>
    <mergeCell ref="N218:O218"/>
    <mergeCell ref="N205:O205"/>
    <mergeCell ref="I244:J244"/>
    <mergeCell ref="B142:Q142"/>
    <mergeCell ref="P231:Q231"/>
    <mergeCell ref="I231:J231"/>
    <mergeCell ref="P387:Q387"/>
    <mergeCell ref="P168:Q168"/>
    <mergeCell ref="F391:Q391"/>
    <mergeCell ref="F388:P388"/>
    <mergeCell ref="F389:P389"/>
    <mergeCell ref="F162:P162"/>
    <mergeCell ref="F102:P102"/>
  </mergeCells>
  <phoneticPr fontId="0" type="noConversion"/>
  <conditionalFormatting sqref="I59:J69">
    <cfRule type="cellIs" dxfId="5" priority="10" operator="greaterThan">
      <formula>99</formula>
    </cfRule>
  </conditionalFormatting>
  <conditionalFormatting sqref="I52:J57">
    <cfRule type="cellIs" dxfId="4" priority="9" operator="greaterThan">
      <formula>99</formula>
    </cfRule>
  </conditionalFormatting>
  <conditionalFormatting sqref="I71:J76">
    <cfRule type="cellIs" dxfId="3" priority="8" operator="greaterThan">
      <formula>99</formula>
    </cfRule>
  </conditionalFormatting>
  <printOptions horizontalCentered="1"/>
  <pageMargins left="0.394666666666667" right="0.419333333333333" top="0.33" bottom="0.3" header="0" footer="0.15"/>
  <pageSetup scale="73" orientation="portrait"/>
  <headerFooter>
    <oddFooter>&amp;CPage &amp;P of 8</oddFooter>
  </headerFooter>
  <rowBreaks count="7" manualBreakCount="7">
    <brk id="77" max="17" man="1"/>
    <brk id="139" max="17" man="1"/>
    <brk id="202" max="17" man="1"/>
    <brk id="273" max="17" man="1"/>
    <brk id="348" max="17" man="1"/>
    <brk id="414" max="17" man="1"/>
    <brk id="492" max="17" man="1"/>
  </rowBreaks>
  <ignoredErrors>
    <ignoredError sqref="N36" formula="1"/>
    <ignoredError sqref="C84:D95 C110:D121 C353:D357 C123:D129 C131:D137 C439:D439 C418:D421 C219:D230 C232:D243 C245:D256 D268:D269 C277:D289 C293:D295 C297:D306 C431:D437 C308:D312 C314:D316 C318:D322 C324:D330 C332:D334 C336:D344 C372:D379 C383:D386 C388:D391 C393:D397 C399:D402 C404:D407 C409:D413 C359:D370 C441:D444 C446:D452 C458:D458 C460:D465 C206:D217 C149:D165 C144:D147 C97:D108 C170:D171 C173:D174 C176:D177 C179:D181 C183:D183 C185:D196 C198:D201 C486:D489 C480:D484 C474:D478 C467:D472 C496:D499 C501:D504 C508:D512 C514:D525 C527:D532 C423:D429 C258:D267 C268:C269 C454" numberStoredAsText="1"/>
  </ignoredErrors>
  <extLst>
    <ext xmlns:x14="http://schemas.microsoft.com/office/spreadsheetml/2009/9/main" uri="{78C0D931-6437-407d-A8EE-F0AAD7539E65}">
      <x14:conditionalFormattings>
        <x14:conditionalFormatting xmlns:xm="http://schemas.microsoft.com/office/excel/2006/main">
          <x14:cfRule type="expression" priority="3" id="{1BA66508-244D-8342-BA8A-A381DD0DF84D}">
            <xm:f>Calculations!XFB307&gt;0</xm:f>
            <x14:dxf>
              <font>
                <color rgb="FF9C0006"/>
              </font>
              <fill>
                <patternFill>
                  <bgColor rgb="FFFFC7CE"/>
                </patternFill>
              </fill>
            </x14:dxf>
          </x14:cfRule>
          <xm:sqref>B44:I44</xm:sqref>
        </x14:conditionalFormatting>
        <x14:conditionalFormatting xmlns:xm="http://schemas.microsoft.com/office/excel/2006/main">
          <x14:cfRule type="expression" priority="2" id="{B45ADABC-0EA7-7E4F-8BF4-82BFA7CA9885}">
            <xm:f>Calculations!D307&gt;0</xm:f>
            <x14:dxf>
              <font>
                <color rgb="FF9C0006"/>
              </font>
              <fill>
                <patternFill>
                  <bgColor rgb="FFFFC7CE"/>
                </patternFill>
              </fill>
            </x14:dxf>
          </x14:cfRule>
          <xm:sqref>F44:G44</xm:sqref>
        </x14:conditionalFormatting>
        <x14:conditionalFormatting xmlns:xm="http://schemas.microsoft.com/office/excel/2006/main">
          <x14:cfRule type="expression" priority="1" id="{D787414D-FDF2-1E46-99D3-823D9E1410E1}">
            <xm:f>Calculations!D307&gt;0</xm:f>
            <x14:dxf>
              <font>
                <color rgb="FF9C0006"/>
              </font>
              <fill>
                <patternFill>
                  <bgColor rgb="FFFFC7CE"/>
                </patternFill>
              </fill>
            </x14:dxf>
          </x14:cfRule>
          <xm:sqref>B44:E44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49:A285"/>
  <sheetViews>
    <sheetView showGridLines="0" showRowColHeaders="0" showRuler="0" zoomScale="140" zoomScaleNormal="140" zoomScaleSheetLayoutView="140" zoomScalePageLayoutView="187" workbookViewId="0">
      <selection activeCell="O227" sqref="O227"/>
    </sheetView>
  </sheetViews>
  <sheetFormatPr baseColWidth="10" defaultColWidth="8.83203125" defaultRowHeight="13" x14ac:dyDescent="0.15"/>
  <cols>
    <col min="11" max="11" width="11.33203125" customWidth="1"/>
    <col min="12" max="12" width="3.1640625" customWidth="1"/>
    <col min="13" max="13" width="4.1640625" customWidth="1"/>
  </cols>
  <sheetData>
    <row r="49" spans="1:1" x14ac:dyDescent="0.15">
      <c r="A49" s="34"/>
    </row>
    <row r="50" spans="1:1" x14ac:dyDescent="0.15">
      <c r="A50" s="34"/>
    </row>
    <row r="51" spans="1:1" x14ac:dyDescent="0.15">
      <c r="A51" s="34"/>
    </row>
    <row r="100" spans="1:1" ht="64" customHeight="1" x14ac:dyDescent="0.15">
      <c r="A100" s="34"/>
    </row>
    <row r="101" spans="1:1" x14ac:dyDescent="0.15">
      <c r="A101" s="34"/>
    </row>
    <row r="161" spans="1:1" x14ac:dyDescent="0.15"/>
    <row r="223" spans="1:1" x14ac:dyDescent="0.15">
      <c r="A223" s="34"/>
    </row>
    <row r="285" spans="1:1" x14ac:dyDescent="0.15">
      <c r="A285" s="34"/>
    </row>
  </sheetData>
  <sheetProtection algorithmName="SHA-512" hashValue="AgZdBu0kCcBSS3NlT2embk9VBJ6whlXcA1Nxrrnt7d0y0NuCNHYdSPLL0UwPJlru6svYEdIoL78GRcWgxH6BQg==" saltValue="dg8GfqE16FUNSAHhXb7qUg==" spinCount="100000" sheet="1" scenarios="1" selectLockedCells="1" selectUnlockedCells="1"/>
  <customSheetViews>
    <customSheetView guid="{B1378614-543A-7248-A620-ABE87072D4CE}" scale="133" showGridLines="0" showRowCol="0" showRuler="0">
      <selection activeCell="O288" sqref="O288"/>
      <rowBreaks count="5" manualBreakCount="5">
        <brk id="49" max="16383" man="1"/>
        <brk id="100" max="16383" man="1"/>
        <brk id="160" max="16383" man="1"/>
        <brk id="222" max="16383" man="1"/>
        <brk id="284" max="16383" man="1"/>
      </rowBreaks>
      <pageMargins left="0.75" right="0.75" top="1" bottom="1" header="0.5" footer="0.5"/>
      <printOptions horizontalCentered="1"/>
      <pageSetup scale="80" orientation="portrait" horizontalDpi="4294967293" verticalDpi="300" r:id="rId1"/>
      <headerFooter>
        <oddHeader xml:space="preserve">&amp;C&amp;"Arial,Bold"&amp;16The MID Report: Line Graphs
&amp;"Arial,Italic"&amp;12Version 5.2 (Mac): October 1, 2020&amp;"Arial,Bold"
</oddHeader>
        <oddFooter>&amp;CPage &amp;P of &amp;N</oddFooter>
      </headerFooter>
    </customSheetView>
    <customSheetView guid="{DB569172-C410-4CCD-B270-56E8B6227EED}" scale="133" showGridLines="0" showRowCol="0" showRuler="0">
      <selection activeCell="O288" sqref="O288"/>
      <rowBreaks count="5" manualBreakCount="5">
        <brk id="49" max="16383" man="1"/>
        <brk id="100" max="16383" man="1"/>
        <brk id="160" max="16383" man="1"/>
        <brk id="222" max="16383" man="1"/>
        <brk id="284" max="16383" man="1"/>
      </rowBreaks>
      <pageMargins left="0.75" right="0.75" top="1" bottom="1" header="0.5" footer="0.5"/>
      <printOptions horizontalCentered="1"/>
      <pageSetup scale="80" orientation="portrait" horizontalDpi="4294967293" verticalDpi="300" r:id="rId2"/>
      <headerFooter>
        <oddHeader xml:space="preserve">&amp;C&amp;"Arial,Bold"&amp;16The MID Report: Line Graphs
&amp;"Arial,Italic"&amp;12Version 5.2 (Mac): October 1, 2020&amp;"Arial,Bold"
</oddHeader>
        <oddFooter>&amp;CPage &amp;P of &amp;N</oddFooter>
      </headerFooter>
    </customSheetView>
  </customSheetViews>
  <phoneticPr fontId="0" type="noConversion"/>
  <printOptions horizontalCentered="1"/>
  <pageMargins left="0.75" right="0.75" top="1" bottom="1" header="0.5" footer="0.5"/>
  <pageSetup scale="80" orientation="portrait" horizontalDpi="4294967293" verticalDpi="300" r:id="rId3"/>
  <headerFooter>
    <oddHeader xml:space="preserve">&amp;C&amp;"Arial Bold,Bold"&amp;16&amp;K000000The MID Report: Line Graphs
&amp;"Arial Italic,Italic"&amp;12Version 6.0 (Mac): December 30, 2022&amp;"Arial Bold,Bold"
</oddHeader>
    <oddFooter>&amp;CPage &amp;P of &amp;N</oddFooter>
  </headerFooter>
  <rowBreaks count="5" manualBreakCount="5">
    <brk id="49" max="16383" man="1"/>
    <brk id="100" max="16383" man="1"/>
    <brk id="160" max="16383" man="1"/>
    <brk id="222" max="16383" man="1"/>
    <brk id="284" max="16383" man="1"/>
  </rowBreaks>
  <drawing r:id="rId4"/>
  <legacy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58:K324"/>
  <sheetViews>
    <sheetView showGridLines="0" showRowColHeaders="0" showRuler="0" zoomScale="140" zoomScaleNormal="140" zoomScaleSheetLayoutView="140" workbookViewId="0">
      <selection activeCell="N270" sqref="N270"/>
    </sheetView>
  </sheetViews>
  <sheetFormatPr baseColWidth="10" defaultColWidth="8.83203125" defaultRowHeight="13" x14ac:dyDescent="0.15"/>
  <cols>
    <col min="12" max="12" width="0.1640625" customWidth="1"/>
  </cols>
  <sheetData>
    <row r="58" spans="1:1" x14ac:dyDescent="0.15">
      <c r="A58" s="34"/>
    </row>
    <row r="59" spans="1:1" x14ac:dyDescent="0.15">
      <c r="A59" s="34"/>
    </row>
    <row r="60" spans="1:1" x14ac:dyDescent="0.15">
      <c r="A60" s="34"/>
    </row>
    <row r="122" spans="1:1" x14ac:dyDescent="0.15">
      <c r="A122" s="34"/>
    </row>
    <row r="123" spans="1:1" x14ac:dyDescent="0.15">
      <c r="A123" s="34"/>
    </row>
    <row r="324" spans="11:11" x14ac:dyDescent="0.15">
      <c r="K324" s="563"/>
    </row>
  </sheetData>
  <sheetProtection algorithmName="SHA-512" hashValue="V/mWM/1lITsKTe+RUOPNVmYCdD3cObU48xMw12syJyf3i95xbNXD24jPvHna+zmqSsBmFhAeCqGFUp2wuR9VQw==" saltValue="FejOF1rt0AGPcBQ2C4tPwA==" spinCount="100000" sheet="1" scenarios="1" selectLockedCells="1" selectUnlockedCells="1"/>
  <customSheetViews>
    <customSheetView guid="{B1378614-543A-7248-A620-ABE87072D4CE}" showGridLines="0" showRowCol="0" showRuler="0" topLeftCell="A208">
      <selection activeCell="T339" sqref="T339"/>
      <rowBreaks count="5" manualBreakCount="5">
        <brk id="64" max="16383" man="1"/>
        <brk id="128" max="16383" man="1"/>
        <brk id="192" max="16383" man="1"/>
        <brk id="256" max="16383" man="1"/>
        <brk id="320" max="16383" man="1"/>
      </rowBreaks>
      <pageMargins left="0.5" right="0.5" top="1" bottom="0.64814814814814803" header="0.5" footer="0.5"/>
      <printOptions horizontalCentered="1" verticalCentered="1"/>
      <pageSetup scale="80" orientation="portrait" r:id="rId1"/>
      <headerFooter>
        <oddHeader>&amp;C&amp;"Arial,Bold"&amp;16The MID Report: Bar Graphs
&amp;"Arial,Italic"&amp;12Version 5.2 (Mac): October 1, 2020</oddHeader>
        <oddFooter>Page &amp;P of &amp;N</oddFooter>
      </headerFooter>
    </customSheetView>
    <customSheetView guid="{DB569172-C410-4CCD-B270-56E8B6227EED}" showGridLines="0" showRowCol="0" showRuler="0" topLeftCell="A208">
      <selection activeCell="T339" sqref="T339"/>
      <rowBreaks count="5" manualBreakCount="5">
        <brk id="64" max="16383" man="1"/>
        <brk id="128" max="16383" man="1"/>
        <brk id="192" max="16383" man="1"/>
        <brk id="256" max="16383" man="1"/>
        <brk id="320" max="16383" man="1"/>
      </rowBreaks>
      <pageMargins left="0.5" right="0.5" top="1" bottom="0.64814814814814803" header="0.5" footer="0.5"/>
      <printOptions horizontalCentered="1" verticalCentered="1"/>
      <pageSetup scale="80" orientation="portrait" r:id="rId2"/>
      <headerFooter>
        <oddHeader>&amp;C&amp;"Arial,Bold"&amp;16The MID Report: Bar Graphs
&amp;"Arial,Italic"&amp;12Version 5.2 (Mac): October 1, 2020</oddHeader>
        <oddFooter>Page &amp;P of &amp;N</oddFooter>
      </headerFooter>
    </customSheetView>
  </customSheetViews>
  <phoneticPr fontId="0" type="noConversion"/>
  <printOptions horizontalCentered="1" verticalCentered="1"/>
  <pageMargins left="0.5" right="0.5" top="1" bottom="0.64814814814814803" header="0.5" footer="0.5"/>
  <pageSetup scale="80" orientation="portrait" r:id="rId3"/>
  <headerFooter>
    <oddHeader>&amp;C&amp;"Arial Bold,Bold"&amp;16&amp;K000000The MID Report: Bar Graphs
&amp;"Arial Italic,Italic"&amp;12Version 6.0 (Mac): December 30, 2022</oddHeader>
    <oddFooter>Page &amp;P of &amp;N</oddFooter>
  </headerFooter>
  <rowBreaks count="5" manualBreakCount="5">
    <brk id="64" max="16383" man="1"/>
    <brk id="128" max="16383" man="1"/>
    <brk id="192" max="16383" man="1"/>
    <brk id="256" max="16383" man="1"/>
    <brk id="320" max="16383" man="1"/>
  </row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D462"/>
  <sheetViews>
    <sheetView showGridLines="0" showRuler="0" zoomScale="140" zoomScaleNormal="140" workbookViewId="0">
      <selection activeCell="B13" sqref="B13"/>
    </sheetView>
  </sheetViews>
  <sheetFormatPr baseColWidth="10" defaultColWidth="2.5" defaultRowHeight="13" x14ac:dyDescent="0.15"/>
  <cols>
    <col min="1" max="1" width="0.5" style="1" customWidth="1"/>
    <col min="2" max="2" width="94" style="1" customWidth="1"/>
    <col min="3" max="16384" width="2.5" style="1"/>
  </cols>
  <sheetData>
    <row r="1" spans="2:4" ht="6" customHeight="1" thickBot="1" x14ac:dyDescent="0.2"/>
    <row r="2" spans="2:4" ht="21" x14ac:dyDescent="0.2">
      <c r="B2" s="661" t="s">
        <v>750</v>
      </c>
      <c r="C2"/>
      <c r="D2"/>
    </row>
    <row r="3" spans="2:4" ht="21" x14ac:dyDescent="0.2">
      <c r="B3" s="662" t="s">
        <v>27</v>
      </c>
      <c r="C3"/>
      <c r="D3"/>
    </row>
    <row r="4" spans="2:4" ht="19" customHeight="1" thickBot="1" x14ac:dyDescent="0.2">
      <c r="B4" s="663" t="s">
        <v>844</v>
      </c>
      <c r="C4"/>
      <c r="D4"/>
    </row>
    <row r="5" spans="2:4" ht="83" customHeight="1" x14ac:dyDescent="0.15">
      <c r="B5" s="498" t="s">
        <v>820</v>
      </c>
      <c r="C5"/>
      <c r="D5"/>
    </row>
    <row r="6" spans="2:4" ht="8" customHeight="1" x14ac:dyDescent="0.15">
      <c r="B6" s="498"/>
      <c r="C6"/>
      <c r="D6"/>
    </row>
    <row r="7" spans="2:4" ht="15" customHeight="1" x14ac:dyDescent="0.15">
      <c r="B7" s="1067" t="s">
        <v>762</v>
      </c>
      <c r="C7"/>
      <c r="D7"/>
    </row>
    <row r="8" spans="2:4" ht="17" customHeight="1" x14ac:dyDescent="0.15">
      <c r="B8" s="1067"/>
      <c r="C8"/>
      <c r="D8"/>
    </row>
    <row r="9" spans="2:4" ht="8" customHeight="1" x14ac:dyDescent="0.15">
      <c r="B9" s="514"/>
      <c r="C9"/>
      <c r="D9"/>
    </row>
    <row r="10" spans="2:4" ht="49" customHeight="1" x14ac:dyDescent="0.15">
      <c r="B10" s="499" t="s">
        <v>819</v>
      </c>
      <c r="C10"/>
      <c r="D10"/>
    </row>
    <row r="11" spans="2:4" ht="8" customHeight="1" x14ac:dyDescent="0.15">
      <c r="B11" s="498"/>
      <c r="C11"/>
      <c r="D11"/>
    </row>
    <row r="12" spans="2:4" ht="17" x14ac:dyDescent="0.2">
      <c r="B12" s="664" t="s">
        <v>752</v>
      </c>
      <c r="C12"/>
      <c r="D12"/>
    </row>
    <row r="13" spans="2:4" ht="102" customHeight="1" x14ac:dyDescent="0.15">
      <c r="B13" s="498" t="s">
        <v>823</v>
      </c>
      <c r="C13"/>
      <c r="D13"/>
    </row>
    <row r="14" spans="2:4" ht="8" customHeight="1" x14ac:dyDescent="0.2">
      <c r="B14" s="497"/>
      <c r="C14"/>
      <c r="D14"/>
    </row>
    <row r="15" spans="2:4" ht="16" customHeight="1" x14ac:dyDescent="0.2">
      <c r="B15" s="664" t="s">
        <v>751</v>
      </c>
      <c r="C15"/>
      <c r="D15"/>
    </row>
    <row r="16" spans="2:4" ht="32" customHeight="1" x14ac:dyDescent="0.2">
      <c r="B16" s="665" t="s">
        <v>822</v>
      </c>
      <c r="D16"/>
    </row>
    <row r="17" spans="2:4" ht="8" customHeight="1" x14ac:dyDescent="0.2">
      <c r="B17" s="500"/>
      <c r="C17"/>
      <c r="D17"/>
    </row>
    <row r="18" spans="2:4" ht="16" customHeight="1" x14ac:dyDescent="0.2">
      <c r="B18" s="664" t="s">
        <v>384</v>
      </c>
      <c r="C18"/>
      <c r="D18"/>
    </row>
    <row r="19" spans="2:4" s="4" customFormat="1" ht="16" customHeight="1" x14ac:dyDescent="0.2">
      <c r="B19" s="497" t="s">
        <v>764</v>
      </c>
      <c r="C19"/>
      <c r="D19"/>
    </row>
    <row r="20" spans="2:4" ht="32" customHeight="1" x14ac:dyDescent="0.15">
      <c r="B20" s="498" t="s">
        <v>385</v>
      </c>
      <c r="D20"/>
    </row>
    <row r="21" spans="2:4" ht="32" customHeight="1" x14ac:dyDescent="0.2">
      <c r="B21" s="497" t="s">
        <v>386</v>
      </c>
      <c r="C21"/>
      <c r="D21"/>
    </row>
    <row r="22" spans="2:4" ht="8" customHeight="1" x14ac:dyDescent="0.2">
      <c r="B22" s="497"/>
      <c r="C22"/>
      <c r="D22"/>
    </row>
    <row r="23" spans="2:4" ht="35" customHeight="1" x14ac:dyDescent="0.2">
      <c r="B23" s="1068" t="s">
        <v>860</v>
      </c>
      <c r="C23"/>
      <c r="D23"/>
    </row>
    <row r="24" spans="2:4" ht="8" customHeight="1" x14ac:dyDescent="0.2">
      <c r="B24" s="497"/>
      <c r="C24"/>
      <c r="D24"/>
    </row>
    <row r="25" spans="2:4" ht="17" x14ac:dyDescent="0.2">
      <c r="B25" s="664" t="s">
        <v>753</v>
      </c>
      <c r="C25"/>
      <c r="D25"/>
    </row>
    <row r="26" spans="2:4" ht="17" x14ac:dyDescent="0.15">
      <c r="B26" s="501" t="s">
        <v>21</v>
      </c>
      <c r="C26"/>
      <c r="D26"/>
    </row>
    <row r="27" spans="2:4" ht="8" customHeight="1" x14ac:dyDescent="0.15">
      <c r="B27" s="501"/>
      <c r="C27"/>
      <c r="D27"/>
    </row>
    <row r="28" spans="2:4" ht="48" customHeight="1" x14ac:dyDescent="0.15">
      <c r="B28" s="501" t="s">
        <v>763</v>
      </c>
      <c r="D28"/>
    </row>
    <row r="29" spans="2:4" ht="8" customHeight="1" x14ac:dyDescent="0.15">
      <c r="B29" s="501"/>
      <c r="C29"/>
      <c r="D29"/>
    </row>
    <row r="30" spans="2:4" ht="17" customHeight="1" x14ac:dyDescent="0.15">
      <c r="B30" s="501" t="s">
        <v>166</v>
      </c>
      <c r="C30"/>
      <c r="D30"/>
    </row>
    <row r="31" spans="2:4" ht="8" customHeight="1" thickBot="1" x14ac:dyDescent="0.2">
      <c r="B31" s="502"/>
      <c r="D31"/>
    </row>
    <row r="32" spans="2:4" ht="16" x14ac:dyDescent="0.2">
      <c r="B32" s="50"/>
      <c r="C32"/>
      <c r="D32"/>
    </row>
    <row r="33" spans="2:4" ht="16" x14ac:dyDescent="0.2">
      <c r="B33" s="50"/>
      <c r="D33"/>
    </row>
    <row r="34" spans="2:4" ht="16" x14ac:dyDescent="0.2">
      <c r="B34" s="50"/>
      <c r="C34"/>
      <c r="D34"/>
    </row>
    <row r="35" spans="2:4" ht="16" x14ac:dyDescent="0.2">
      <c r="B35" s="50"/>
      <c r="C35"/>
      <c r="D35"/>
    </row>
    <row r="36" spans="2:4" ht="16" x14ac:dyDescent="0.2">
      <c r="B36" s="50"/>
      <c r="C36"/>
      <c r="D36"/>
    </row>
    <row r="37" spans="2:4" ht="16" x14ac:dyDescent="0.2">
      <c r="B37" s="50"/>
      <c r="D37"/>
    </row>
    <row r="38" spans="2:4" ht="16" x14ac:dyDescent="0.2">
      <c r="B38" s="50"/>
      <c r="C38"/>
      <c r="D38"/>
    </row>
    <row r="39" spans="2:4" ht="16" x14ac:dyDescent="0.2">
      <c r="B39" s="50"/>
      <c r="D39"/>
    </row>
    <row r="40" spans="2:4" ht="16" x14ac:dyDescent="0.2">
      <c r="B40" s="50"/>
      <c r="C40"/>
      <c r="D40"/>
    </row>
    <row r="41" spans="2:4" ht="16" x14ac:dyDescent="0.2">
      <c r="B41" s="50"/>
      <c r="C41"/>
      <c r="D41"/>
    </row>
    <row r="42" spans="2:4" ht="16" x14ac:dyDescent="0.2">
      <c r="B42" s="50"/>
      <c r="C42"/>
      <c r="D42"/>
    </row>
    <row r="43" spans="2:4" ht="16" x14ac:dyDescent="0.2">
      <c r="B43" s="50"/>
      <c r="C43"/>
      <c r="D43"/>
    </row>
    <row r="44" spans="2:4" x14ac:dyDescent="0.15">
      <c r="C44"/>
      <c r="D44"/>
    </row>
    <row r="45" spans="2:4" x14ac:dyDescent="0.15">
      <c r="D45"/>
    </row>
    <row r="46" spans="2:4" x14ac:dyDescent="0.15">
      <c r="C46"/>
      <c r="D46"/>
    </row>
    <row r="47" spans="2:4" ht="35" x14ac:dyDescent="0.35">
      <c r="B47" s="51"/>
      <c r="D47"/>
    </row>
    <row r="48" spans="2:4" ht="35" x14ac:dyDescent="0.35">
      <c r="B48" s="51"/>
      <c r="C48"/>
      <c r="D48"/>
    </row>
    <row r="49" spans="2:4" ht="181" customHeight="1" x14ac:dyDescent="0.35">
      <c r="B49" s="51"/>
      <c r="C49"/>
      <c r="D49"/>
    </row>
    <row r="50" spans="2:4" ht="35" x14ac:dyDescent="0.35">
      <c r="B50" s="51"/>
      <c r="C50"/>
      <c r="D50"/>
    </row>
    <row r="51" spans="2:4" ht="35" x14ac:dyDescent="0.35">
      <c r="B51" s="51"/>
      <c r="D51"/>
    </row>
    <row r="52" spans="2:4" ht="35" x14ac:dyDescent="0.35">
      <c r="B52" s="51"/>
      <c r="C52"/>
      <c r="D52"/>
    </row>
    <row r="53" spans="2:4" ht="35" x14ac:dyDescent="0.35">
      <c r="B53" s="51"/>
      <c r="C53"/>
      <c r="D53"/>
    </row>
    <row r="54" spans="2:4" ht="35" x14ac:dyDescent="0.35">
      <c r="B54" s="51"/>
      <c r="C54"/>
      <c r="D54"/>
    </row>
    <row r="55" spans="2:4" ht="35" x14ac:dyDescent="0.35">
      <c r="B55" s="51"/>
      <c r="C55"/>
      <c r="D55"/>
    </row>
    <row r="56" spans="2:4" ht="33" customHeight="1" x14ac:dyDescent="0.35">
      <c r="B56" s="51"/>
      <c r="C56"/>
      <c r="D56"/>
    </row>
    <row r="57" spans="2:4" ht="32" customHeight="1" x14ac:dyDescent="0.35">
      <c r="B57" s="51"/>
      <c r="C57"/>
      <c r="D57"/>
    </row>
    <row r="58" spans="2:4" ht="23" x14ac:dyDescent="0.25">
      <c r="B58" s="52"/>
      <c r="C58"/>
      <c r="D58"/>
    </row>
    <row r="59" spans="2:4" x14ac:dyDescent="0.15">
      <c r="B59" s="58"/>
      <c r="C59"/>
      <c r="D59"/>
    </row>
    <row r="60" spans="2:4" ht="23" x14ac:dyDescent="0.25">
      <c r="B60" s="52"/>
      <c r="C60"/>
      <c r="D60"/>
    </row>
    <row r="61" spans="2:4" ht="23" x14ac:dyDescent="0.25">
      <c r="B61" s="52"/>
      <c r="C61"/>
      <c r="D61"/>
    </row>
    <row r="62" spans="2:4" ht="23" x14ac:dyDescent="0.25">
      <c r="B62" s="52"/>
      <c r="C62"/>
      <c r="D62"/>
    </row>
    <row r="63" spans="2:4" ht="23" x14ac:dyDescent="0.25">
      <c r="B63" s="52"/>
      <c r="D63"/>
    </row>
    <row r="64" spans="2:4" ht="15" x14ac:dyDescent="0.15">
      <c r="B64" s="59"/>
      <c r="C64"/>
      <c r="D64"/>
    </row>
    <row r="65" spans="2:4" ht="15" x14ac:dyDescent="0.15">
      <c r="B65" s="59"/>
      <c r="D65"/>
    </row>
    <row r="66" spans="2:4" ht="15" x14ac:dyDescent="0.15">
      <c r="B66" s="59"/>
      <c r="D66"/>
    </row>
    <row r="67" spans="2:4" ht="15" x14ac:dyDescent="0.15">
      <c r="B67" s="59"/>
      <c r="C67"/>
      <c r="D67"/>
    </row>
    <row r="68" spans="2:4" ht="15" x14ac:dyDescent="0.15">
      <c r="B68" s="59"/>
      <c r="C68"/>
      <c r="D68"/>
    </row>
    <row r="69" spans="2:4" ht="15" x14ac:dyDescent="0.15">
      <c r="B69" s="59"/>
      <c r="C69"/>
      <c r="D69"/>
    </row>
    <row r="70" spans="2:4" x14ac:dyDescent="0.15">
      <c r="C70"/>
    </row>
    <row r="71" spans="2:4" x14ac:dyDescent="0.15">
      <c r="B71" s="58"/>
      <c r="D71"/>
    </row>
    <row r="72" spans="2:4" x14ac:dyDescent="0.15">
      <c r="B72" s="60"/>
      <c r="C72"/>
    </row>
    <row r="73" spans="2:4" ht="23" x14ac:dyDescent="0.25">
      <c r="B73" s="52"/>
      <c r="C73"/>
    </row>
    <row r="74" spans="2:4" ht="23" x14ac:dyDescent="0.25">
      <c r="B74" s="52"/>
      <c r="C74"/>
    </row>
    <row r="75" spans="2:4" x14ac:dyDescent="0.15">
      <c r="B75" s="62"/>
      <c r="D75"/>
    </row>
    <row r="76" spans="2:4" x14ac:dyDescent="0.15">
      <c r="B76" s="62"/>
      <c r="C76"/>
    </row>
    <row r="77" spans="2:4" x14ac:dyDescent="0.15">
      <c r="B77" s="62"/>
      <c r="C77"/>
    </row>
    <row r="78" spans="2:4" ht="16" x14ac:dyDescent="0.2">
      <c r="B78" s="63"/>
      <c r="C78"/>
    </row>
    <row r="79" spans="2:4" ht="16" x14ac:dyDescent="0.2">
      <c r="B79" s="63"/>
      <c r="C79"/>
      <c r="D79"/>
    </row>
    <row r="80" spans="2:4" ht="16" x14ac:dyDescent="0.2">
      <c r="B80" s="64"/>
      <c r="C80"/>
      <c r="D80"/>
    </row>
    <row r="81" spans="2:4" ht="16" x14ac:dyDescent="0.2">
      <c r="B81" s="64"/>
      <c r="C81"/>
      <c r="D81"/>
    </row>
    <row r="82" spans="2:4" ht="16" x14ac:dyDescent="0.2">
      <c r="B82" s="64"/>
    </row>
    <row r="83" spans="2:4" x14ac:dyDescent="0.15">
      <c r="B83" s="61"/>
    </row>
    <row r="84" spans="2:4" ht="16" x14ac:dyDescent="0.2">
      <c r="B84" s="64"/>
    </row>
    <row r="85" spans="2:4" x14ac:dyDescent="0.15">
      <c r="B85" s="61"/>
    </row>
    <row r="86" spans="2:4" ht="16" x14ac:dyDescent="0.2">
      <c r="B86" s="63"/>
    </row>
    <row r="87" spans="2:4" ht="16" x14ac:dyDescent="0.2">
      <c r="B87" s="63"/>
    </row>
    <row r="88" spans="2:4" ht="16" x14ac:dyDescent="0.2">
      <c r="B88" s="64"/>
    </row>
    <row r="89" spans="2:4" x14ac:dyDescent="0.15">
      <c r="B89"/>
    </row>
    <row r="90" spans="2:4" ht="16" x14ac:dyDescent="0.2">
      <c r="B90" s="63"/>
    </row>
    <row r="91" spans="2:4" ht="16" x14ac:dyDescent="0.2">
      <c r="B91" s="64"/>
    </row>
    <row r="92" spans="2:4" ht="16" x14ac:dyDescent="0.2">
      <c r="B92" s="63"/>
    </row>
    <row r="93" spans="2:4" ht="16" x14ac:dyDescent="0.2">
      <c r="B93" s="65"/>
    </row>
    <row r="94" spans="2:4" ht="16" x14ac:dyDescent="0.2">
      <c r="B94" s="63"/>
    </row>
    <row r="95" spans="2:4" ht="16" x14ac:dyDescent="0.2">
      <c r="B95" s="63"/>
    </row>
    <row r="96" spans="2:4" ht="16" x14ac:dyDescent="0.2">
      <c r="B96" s="63"/>
    </row>
    <row r="97" spans="2:4" ht="16" x14ac:dyDescent="0.2">
      <c r="B97" s="64"/>
    </row>
    <row r="98" spans="2:4" ht="16" x14ac:dyDescent="0.2">
      <c r="B98" s="63"/>
    </row>
    <row r="99" spans="2:4" ht="16" x14ac:dyDescent="0.2">
      <c r="B99" s="64"/>
    </row>
    <row r="100" spans="2:4" ht="16" x14ac:dyDescent="0.2">
      <c r="B100" s="63"/>
    </row>
    <row r="101" spans="2:4" ht="16" x14ac:dyDescent="0.2">
      <c r="B101" s="64"/>
    </row>
    <row r="102" spans="2:4" ht="16" x14ac:dyDescent="0.2">
      <c r="B102" s="63"/>
    </row>
    <row r="103" spans="2:4" ht="16" x14ac:dyDescent="0.2">
      <c r="B103" s="64"/>
    </row>
    <row r="104" spans="2:4" ht="16" x14ac:dyDescent="0.2">
      <c r="B104" s="63"/>
    </row>
    <row r="105" spans="2:4" ht="16" x14ac:dyDescent="0.2">
      <c r="B105" s="64"/>
    </row>
    <row r="106" spans="2:4" ht="16" x14ac:dyDescent="0.2">
      <c r="B106" s="63"/>
    </row>
    <row r="107" spans="2:4" ht="16" x14ac:dyDescent="0.2">
      <c r="B107" s="64"/>
      <c r="C107" s="59"/>
    </row>
    <row r="108" spans="2:4" ht="16" x14ac:dyDescent="0.2">
      <c r="B108" s="63"/>
    </row>
    <row r="109" spans="2:4" ht="16" x14ac:dyDescent="0.2">
      <c r="B109" s="65"/>
    </row>
    <row r="110" spans="2:4" ht="16" x14ac:dyDescent="0.2">
      <c r="B110" s="65"/>
    </row>
    <row r="111" spans="2:4" ht="16" x14ac:dyDescent="0.2">
      <c r="B111" s="64"/>
      <c r="C111"/>
      <c r="D111"/>
    </row>
    <row r="112" spans="2:4" ht="16" x14ac:dyDescent="0.2">
      <c r="B112" s="63"/>
      <c r="C112"/>
      <c r="D112"/>
    </row>
    <row r="113" spans="2:4" ht="16" x14ac:dyDescent="0.2">
      <c r="B113" s="64"/>
      <c r="C113"/>
      <c r="D113"/>
    </row>
    <row r="114" spans="2:4" ht="16" x14ac:dyDescent="0.2">
      <c r="B114" s="63"/>
      <c r="C114"/>
      <c r="D114"/>
    </row>
    <row r="115" spans="2:4" ht="16" x14ac:dyDescent="0.2">
      <c r="B115" s="64"/>
      <c r="C115"/>
      <c r="D115"/>
    </row>
    <row r="116" spans="2:4" ht="16" x14ac:dyDescent="0.2">
      <c r="B116" s="63"/>
      <c r="C116"/>
      <c r="D116"/>
    </row>
    <row r="117" spans="2:4" ht="16" x14ac:dyDescent="0.2">
      <c r="B117" s="64"/>
      <c r="C117"/>
      <c r="D117"/>
    </row>
    <row r="118" spans="2:4" ht="16" x14ac:dyDescent="0.2">
      <c r="B118" s="63"/>
      <c r="C118"/>
      <c r="D118"/>
    </row>
    <row r="119" spans="2:4" ht="16" x14ac:dyDescent="0.2">
      <c r="B119" s="64"/>
      <c r="C119"/>
      <c r="D119"/>
    </row>
    <row r="120" spans="2:4" ht="16" x14ac:dyDescent="0.2">
      <c r="B120" s="64"/>
      <c r="C120"/>
      <c r="D120"/>
    </row>
    <row r="121" spans="2:4" ht="16" x14ac:dyDescent="0.2">
      <c r="B121" s="64"/>
      <c r="C121"/>
      <c r="D121"/>
    </row>
    <row r="122" spans="2:4" ht="16" x14ac:dyDescent="0.2">
      <c r="B122" s="63"/>
      <c r="C122"/>
      <c r="D122"/>
    </row>
    <row r="123" spans="2:4" ht="16" x14ac:dyDescent="0.2">
      <c r="B123" s="64"/>
      <c r="C123"/>
      <c r="D123"/>
    </row>
    <row r="124" spans="2:4" ht="16" x14ac:dyDescent="0.2">
      <c r="B124" s="64"/>
      <c r="C124"/>
      <c r="D124"/>
    </row>
    <row r="125" spans="2:4" ht="16" x14ac:dyDescent="0.2">
      <c r="B125" s="64"/>
      <c r="C125"/>
      <c r="D125"/>
    </row>
    <row r="126" spans="2:4" ht="16" x14ac:dyDescent="0.2">
      <c r="B126" s="63"/>
      <c r="C126"/>
      <c r="D126"/>
    </row>
    <row r="127" spans="2:4" ht="16" x14ac:dyDescent="0.2">
      <c r="B127" s="64"/>
      <c r="C127" s="63"/>
      <c r="D127"/>
    </row>
    <row r="128" spans="2:4" ht="16" x14ac:dyDescent="0.2">
      <c r="B128" s="63"/>
      <c r="C128"/>
      <c r="D128"/>
    </row>
    <row r="129" spans="2:4" ht="16" x14ac:dyDescent="0.2">
      <c r="B129" s="64"/>
      <c r="C129"/>
      <c r="D129"/>
    </row>
    <row r="130" spans="2:4" ht="16" x14ac:dyDescent="0.2">
      <c r="B130" s="63"/>
      <c r="C130"/>
      <c r="D130"/>
    </row>
    <row r="131" spans="2:4" ht="16" x14ac:dyDescent="0.2">
      <c r="B131" s="63"/>
      <c r="C131"/>
      <c r="D131"/>
    </row>
    <row r="132" spans="2:4" ht="16" x14ac:dyDescent="0.2">
      <c r="B132" s="64"/>
      <c r="C132"/>
      <c r="D132"/>
    </row>
    <row r="133" spans="2:4" ht="16" x14ac:dyDescent="0.2">
      <c r="B133" s="63"/>
      <c r="C133"/>
      <c r="D133"/>
    </row>
    <row r="134" spans="2:4" ht="16" x14ac:dyDescent="0.2">
      <c r="B134" s="65"/>
      <c r="C134"/>
      <c r="D134"/>
    </row>
    <row r="135" spans="2:4" ht="16" x14ac:dyDescent="0.2">
      <c r="B135" s="63"/>
      <c r="C135"/>
      <c r="D135"/>
    </row>
    <row r="136" spans="2:4" ht="16" x14ac:dyDescent="0.2">
      <c r="B136" s="64"/>
      <c r="C136"/>
      <c r="D136"/>
    </row>
    <row r="137" spans="2:4" ht="16" x14ac:dyDescent="0.2">
      <c r="B137" s="63"/>
      <c r="C137"/>
      <c r="D137"/>
    </row>
    <row r="138" spans="2:4" ht="16" x14ac:dyDescent="0.2">
      <c r="B138" s="63"/>
      <c r="C138"/>
      <c r="D138"/>
    </row>
    <row r="139" spans="2:4" ht="16" x14ac:dyDescent="0.2">
      <c r="B139" s="64"/>
      <c r="C139"/>
      <c r="D139"/>
    </row>
    <row r="140" spans="2:4" ht="16" x14ac:dyDescent="0.2">
      <c r="B140" s="63"/>
      <c r="C140"/>
      <c r="D140"/>
    </row>
    <row r="141" spans="2:4" ht="16" x14ac:dyDescent="0.2">
      <c r="B141" s="63"/>
      <c r="C141"/>
      <c r="D141"/>
    </row>
    <row r="142" spans="2:4" ht="16" x14ac:dyDescent="0.2">
      <c r="B142" s="64"/>
      <c r="C142"/>
      <c r="D142"/>
    </row>
    <row r="143" spans="2:4" ht="16" x14ac:dyDescent="0.2">
      <c r="B143" s="63"/>
      <c r="C143"/>
      <c r="D143"/>
    </row>
    <row r="144" spans="2:4" ht="16" x14ac:dyDescent="0.2">
      <c r="B144" s="63"/>
      <c r="C144"/>
      <c r="D144"/>
    </row>
    <row r="145" spans="2:4" ht="16" x14ac:dyDescent="0.2">
      <c r="B145" s="64"/>
      <c r="C145"/>
      <c r="D145"/>
    </row>
    <row r="146" spans="2:4" ht="16" x14ac:dyDescent="0.2">
      <c r="B146" s="63"/>
      <c r="C146"/>
      <c r="D146"/>
    </row>
    <row r="147" spans="2:4" ht="16" x14ac:dyDescent="0.2">
      <c r="B147" s="64"/>
      <c r="C147"/>
      <c r="D147"/>
    </row>
    <row r="148" spans="2:4" ht="16" x14ac:dyDescent="0.2">
      <c r="B148" s="63"/>
      <c r="C148"/>
      <c r="D148"/>
    </row>
    <row r="149" spans="2:4" ht="16" x14ac:dyDescent="0.2">
      <c r="B149" s="64"/>
      <c r="C149"/>
      <c r="D149"/>
    </row>
    <row r="150" spans="2:4" ht="16" x14ac:dyDescent="0.2">
      <c r="B150" s="63"/>
      <c r="C150"/>
      <c r="D150"/>
    </row>
    <row r="151" spans="2:4" ht="16" x14ac:dyDescent="0.2">
      <c r="B151" s="64"/>
      <c r="C151"/>
      <c r="D151"/>
    </row>
    <row r="152" spans="2:4" ht="16" x14ac:dyDescent="0.2">
      <c r="B152" s="64"/>
      <c r="C152"/>
      <c r="D152"/>
    </row>
    <row r="153" spans="2:4" ht="16" x14ac:dyDescent="0.2">
      <c r="B153" s="64"/>
      <c r="C153"/>
      <c r="D153"/>
    </row>
    <row r="154" spans="2:4" ht="16" x14ac:dyDescent="0.2">
      <c r="B154" s="63"/>
      <c r="C154"/>
      <c r="D154"/>
    </row>
    <row r="155" spans="2:4" ht="16" x14ac:dyDescent="0.2">
      <c r="B155" s="63"/>
      <c r="C155"/>
      <c r="D155"/>
    </row>
    <row r="156" spans="2:4" ht="16" x14ac:dyDescent="0.2">
      <c r="B156" s="63"/>
      <c r="C156"/>
      <c r="D156"/>
    </row>
    <row r="157" spans="2:4" ht="16" x14ac:dyDescent="0.2">
      <c r="B157" s="63"/>
      <c r="C157"/>
      <c r="D157"/>
    </row>
    <row r="158" spans="2:4" ht="16" x14ac:dyDescent="0.2">
      <c r="B158" s="63"/>
      <c r="C158"/>
      <c r="D158"/>
    </row>
    <row r="159" spans="2:4" ht="16" x14ac:dyDescent="0.2">
      <c r="B159" s="63"/>
      <c r="C159"/>
      <c r="D159"/>
    </row>
    <row r="160" spans="2:4" x14ac:dyDescent="0.15">
      <c r="B160" s="61"/>
      <c r="C160"/>
      <c r="D160"/>
    </row>
    <row r="161" spans="2:4" x14ac:dyDescent="0.15">
      <c r="B161" s="61"/>
      <c r="C161"/>
      <c r="D161"/>
    </row>
    <row r="162" spans="2:4" x14ac:dyDescent="0.15">
      <c r="B162" s="61"/>
      <c r="C162"/>
      <c r="D162"/>
    </row>
    <row r="163" spans="2:4" ht="20" x14ac:dyDescent="0.2">
      <c r="B163" s="66"/>
      <c r="C163"/>
      <c r="D163"/>
    </row>
    <row r="164" spans="2:4" ht="16" x14ac:dyDescent="0.2">
      <c r="B164" s="63"/>
      <c r="C164"/>
      <c r="D164"/>
    </row>
    <row r="165" spans="2:4" x14ac:dyDescent="0.15">
      <c r="B165"/>
      <c r="C165"/>
      <c r="D165"/>
    </row>
    <row r="166" spans="2:4" ht="16" x14ac:dyDescent="0.2">
      <c r="B166" s="63"/>
      <c r="C166"/>
      <c r="D166"/>
    </row>
    <row r="167" spans="2:4" ht="16" x14ac:dyDescent="0.2">
      <c r="B167" s="63"/>
      <c r="C167"/>
      <c r="D167"/>
    </row>
    <row r="168" spans="2:4" ht="16" x14ac:dyDescent="0.2">
      <c r="B168" s="63"/>
      <c r="C168"/>
      <c r="D168"/>
    </row>
    <row r="169" spans="2:4" ht="16" x14ac:dyDescent="0.2">
      <c r="B169" s="64"/>
      <c r="C169"/>
      <c r="D169"/>
    </row>
    <row r="170" spans="2:4" ht="16" x14ac:dyDescent="0.2">
      <c r="B170" s="64"/>
      <c r="C170"/>
      <c r="D170"/>
    </row>
    <row r="171" spans="2:4" ht="16" x14ac:dyDescent="0.2">
      <c r="B171" s="64"/>
      <c r="C171"/>
      <c r="D171"/>
    </row>
    <row r="172" spans="2:4" ht="16" x14ac:dyDescent="0.2">
      <c r="B172" s="63"/>
      <c r="C172"/>
      <c r="D172"/>
    </row>
    <row r="173" spans="2:4" ht="16" x14ac:dyDescent="0.2">
      <c r="B173" s="63"/>
      <c r="C173"/>
      <c r="D173"/>
    </row>
    <row r="174" spans="2:4" ht="16" x14ac:dyDescent="0.2">
      <c r="B174" s="65"/>
      <c r="C174"/>
      <c r="D174"/>
    </row>
    <row r="175" spans="2:4" ht="16" x14ac:dyDescent="0.2">
      <c r="B175" s="63"/>
      <c r="C175"/>
      <c r="D175"/>
    </row>
    <row r="176" spans="2:4" ht="16" x14ac:dyDescent="0.2">
      <c r="B176" s="65"/>
      <c r="C176"/>
      <c r="D176"/>
    </row>
    <row r="177" spans="2:4" ht="16" x14ac:dyDescent="0.2">
      <c r="B177" s="63"/>
      <c r="C177"/>
      <c r="D177"/>
    </row>
    <row r="178" spans="2:4" ht="16" x14ac:dyDescent="0.2">
      <c r="B178" s="63"/>
      <c r="C178"/>
      <c r="D178"/>
    </row>
    <row r="179" spans="2:4" ht="16" x14ac:dyDescent="0.2">
      <c r="B179" s="64"/>
      <c r="C179"/>
      <c r="D179"/>
    </row>
    <row r="180" spans="2:4" ht="16" x14ac:dyDescent="0.2">
      <c r="B180" s="64"/>
      <c r="C180"/>
      <c r="D180"/>
    </row>
    <row r="181" spans="2:4" ht="16" x14ac:dyDescent="0.2">
      <c r="B181" s="63"/>
      <c r="C181"/>
      <c r="D181"/>
    </row>
    <row r="182" spans="2:4" ht="16" x14ac:dyDescent="0.2">
      <c r="B182" s="63"/>
      <c r="C182"/>
      <c r="D182"/>
    </row>
    <row r="183" spans="2:4" ht="16" x14ac:dyDescent="0.2">
      <c r="B183" s="63"/>
      <c r="C183"/>
      <c r="D183"/>
    </row>
    <row r="184" spans="2:4" ht="16" x14ac:dyDescent="0.2">
      <c r="B184" s="65"/>
      <c r="C184"/>
      <c r="D184"/>
    </row>
    <row r="185" spans="2:4" x14ac:dyDescent="0.15">
      <c r="B185"/>
      <c r="C185"/>
      <c r="D185"/>
    </row>
    <row r="186" spans="2:4" ht="16" x14ac:dyDescent="0.2">
      <c r="B186" s="63"/>
      <c r="C186"/>
      <c r="D186"/>
    </row>
    <row r="187" spans="2:4" ht="16" x14ac:dyDescent="0.2">
      <c r="B187" s="63"/>
      <c r="C187"/>
      <c r="D187"/>
    </row>
    <row r="188" spans="2:4" ht="16" x14ac:dyDescent="0.2">
      <c r="B188" s="64"/>
      <c r="C188"/>
      <c r="D188"/>
    </row>
    <row r="189" spans="2:4" ht="16" x14ac:dyDescent="0.2">
      <c r="B189" s="63"/>
      <c r="C189"/>
      <c r="D189"/>
    </row>
    <row r="190" spans="2:4" ht="16" x14ac:dyDescent="0.2">
      <c r="B190" s="63"/>
      <c r="C190"/>
      <c r="D190"/>
    </row>
    <row r="191" spans="2:4" ht="16" x14ac:dyDescent="0.2">
      <c r="B191" s="63"/>
      <c r="C191"/>
      <c r="D191"/>
    </row>
    <row r="192" spans="2:4" ht="16" x14ac:dyDescent="0.2">
      <c r="B192" s="63"/>
      <c r="C192"/>
      <c r="D192"/>
    </row>
    <row r="193" spans="2:4" ht="16" x14ac:dyDescent="0.2">
      <c r="B193" s="65"/>
      <c r="C193"/>
      <c r="D193"/>
    </row>
    <row r="194" spans="2:4" ht="16" x14ac:dyDescent="0.2">
      <c r="B194" s="63"/>
      <c r="C194"/>
      <c r="D194"/>
    </row>
    <row r="195" spans="2:4" ht="16" x14ac:dyDescent="0.2">
      <c r="B195" s="65"/>
      <c r="C195"/>
      <c r="D195"/>
    </row>
    <row r="196" spans="2:4" ht="16" x14ac:dyDescent="0.2">
      <c r="B196" s="63"/>
      <c r="C196"/>
      <c r="D196"/>
    </row>
    <row r="197" spans="2:4" ht="16" x14ac:dyDescent="0.2">
      <c r="B197" s="63"/>
      <c r="C197"/>
      <c r="D197"/>
    </row>
    <row r="198" spans="2:4" ht="16" x14ac:dyDescent="0.2">
      <c r="B198" s="64"/>
      <c r="C198"/>
      <c r="D198"/>
    </row>
    <row r="199" spans="2:4" ht="16" x14ac:dyDescent="0.2">
      <c r="B199" s="63"/>
      <c r="C199"/>
      <c r="D199"/>
    </row>
    <row r="200" spans="2:4" ht="16" x14ac:dyDescent="0.2">
      <c r="B200" s="63"/>
      <c r="C200"/>
      <c r="D200"/>
    </row>
    <row r="201" spans="2:4" ht="16" x14ac:dyDescent="0.2">
      <c r="B201" s="65"/>
      <c r="C201"/>
      <c r="D201"/>
    </row>
    <row r="202" spans="2:4" ht="16" x14ac:dyDescent="0.2">
      <c r="B202" s="63"/>
      <c r="C202"/>
      <c r="D202"/>
    </row>
    <row r="203" spans="2:4" ht="16" x14ac:dyDescent="0.2">
      <c r="B203" s="65"/>
      <c r="C203" s="63"/>
      <c r="D203"/>
    </row>
    <row r="204" spans="2:4" ht="16" x14ac:dyDescent="0.2">
      <c r="B204" s="64"/>
      <c r="C204"/>
      <c r="D204"/>
    </row>
    <row r="205" spans="2:4" ht="16" x14ac:dyDescent="0.2">
      <c r="B205" s="63"/>
      <c r="C205"/>
      <c r="D205"/>
    </row>
    <row r="206" spans="2:4" ht="16" x14ac:dyDescent="0.2">
      <c r="B206" s="67"/>
      <c r="C206"/>
      <c r="D206"/>
    </row>
    <row r="207" spans="2:4" ht="16" x14ac:dyDescent="0.2">
      <c r="B207" s="63"/>
      <c r="C207"/>
      <c r="D207"/>
    </row>
    <row r="208" spans="2:4" ht="16" x14ac:dyDescent="0.2">
      <c r="B208" s="63"/>
      <c r="C208"/>
      <c r="D208"/>
    </row>
    <row r="209" spans="2:4" ht="16" x14ac:dyDescent="0.2">
      <c r="B209" s="63"/>
      <c r="C209"/>
      <c r="D209"/>
    </row>
    <row r="210" spans="2:4" ht="16" x14ac:dyDescent="0.2">
      <c r="B210" s="64"/>
      <c r="C210"/>
      <c r="D210"/>
    </row>
    <row r="211" spans="2:4" ht="16" x14ac:dyDescent="0.2">
      <c r="B211" s="64"/>
      <c r="C211"/>
      <c r="D211"/>
    </row>
    <row r="212" spans="2:4" ht="16" x14ac:dyDescent="0.2">
      <c r="B212" s="63"/>
      <c r="C212"/>
      <c r="D212"/>
    </row>
    <row r="213" spans="2:4" x14ac:dyDescent="0.15">
      <c r="B213"/>
      <c r="C213"/>
      <c r="D213"/>
    </row>
    <row r="214" spans="2:4" ht="16" x14ac:dyDescent="0.2">
      <c r="B214" s="63"/>
      <c r="C214"/>
      <c r="D214"/>
    </row>
    <row r="215" spans="2:4" ht="16" x14ac:dyDescent="0.2">
      <c r="B215" s="63"/>
      <c r="C215"/>
      <c r="D215"/>
    </row>
    <row r="216" spans="2:4" ht="16" x14ac:dyDescent="0.2">
      <c r="B216" s="63"/>
      <c r="C216"/>
      <c r="D216"/>
    </row>
    <row r="217" spans="2:4" ht="16" x14ac:dyDescent="0.2">
      <c r="B217" s="65"/>
      <c r="C217"/>
      <c r="D217"/>
    </row>
    <row r="218" spans="2:4" ht="16" x14ac:dyDescent="0.2">
      <c r="B218" s="63"/>
      <c r="C218"/>
      <c r="D218"/>
    </row>
    <row r="219" spans="2:4" ht="16" x14ac:dyDescent="0.2">
      <c r="B219" s="65"/>
      <c r="C219"/>
      <c r="D219"/>
    </row>
    <row r="220" spans="2:4" ht="16" x14ac:dyDescent="0.2">
      <c r="B220" s="63"/>
      <c r="C220"/>
      <c r="D220"/>
    </row>
    <row r="221" spans="2:4" x14ac:dyDescent="0.15">
      <c r="B221"/>
      <c r="C221"/>
      <c r="D221"/>
    </row>
    <row r="222" spans="2:4" ht="16" x14ac:dyDescent="0.2">
      <c r="B222" s="63"/>
      <c r="C222"/>
      <c r="D222"/>
    </row>
    <row r="223" spans="2:4" ht="16" x14ac:dyDescent="0.2">
      <c r="B223" s="63"/>
      <c r="C223" s="65"/>
      <c r="D223"/>
    </row>
    <row r="224" spans="2:4" ht="16" x14ac:dyDescent="0.2">
      <c r="B224" s="63"/>
      <c r="C224"/>
      <c r="D224"/>
    </row>
    <row r="225" spans="2:4" ht="16" x14ac:dyDescent="0.2">
      <c r="B225" s="64"/>
      <c r="C225"/>
      <c r="D225"/>
    </row>
    <row r="226" spans="2:4" ht="16" x14ac:dyDescent="0.2">
      <c r="B226" s="64"/>
      <c r="C226"/>
      <c r="D226"/>
    </row>
    <row r="227" spans="2:4" ht="16" x14ac:dyDescent="0.2">
      <c r="B227" s="63"/>
      <c r="C227"/>
      <c r="D227"/>
    </row>
    <row r="228" spans="2:4" x14ac:dyDescent="0.15">
      <c r="B228"/>
      <c r="C228"/>
      <c r="D228"/>
    </row>
    <row r="229" spans="2:4" ht="16" x14ac:dyDescent="0.2">
      <c r="B229" s="63"/>
      <c r="C229"/>
      <c r="D229"/>
    </row>
    <row r="230" spans="2:4" ht="16" x14ac:dyDescent="0.2">
      <c r="B230" s="65"/>
      <c r="C230"/>
      <c r="D230"/>
    </row>
    <row r="231" spans="2:4" ht="16" x14ac:dyDescent="0.2">
      <c r="B231" s="63"/>
      <c r="C231"/>
      <c r="D231"/>
    </row>
    <row r="232" spans="2:4" ht="16" x14ac:dyDescent="0.2">
      <c r="B232" s="63"/>
      <c r="C232"/>
      <c r="D232"/>
    </row>
    <row r="233" spans="2:4" ht="16" x14ac:dyDescent="0.2">
      <c r="B233" s="63"/>
      <c r="C233"/>
      <c r="D233"/>
    </row>
    <row r="234" spans="2:4" ht="16" x14ac:dyDescent="0.2">
      <c r="B234" s="63"/>
      <c r="C234"/>
      <c r="D234"/>
    </row>
    <row r="235" spans="2:4" ht="16" x14ac:dyDescent="0.2">
      <c r="B235" s="63"/>
      <c r="C235"/>
      <c r="D235"/>
    </row>
    <row r="236" spans="2:4" ht="16" x14ac:dyDescent="0.2">
      <c r="B236" s="63"/>
      <c r="C236"/>
      <c r="D236"/>
    </row>
    <row r="237" spans="2:4" ht="16" x14ac:dyDescent="0.2">
      <c r="B237" s="63"/>
      <c r="C237"/>
      <c r="D237"/>
    </row>
    <row r="238" spans="2:4" ht="16" x14ac:dyDescent="0.2">
      <c r="B238" s="63"/>
      <c r="C238"/>
      <c r="D238"/>
    </row>
    <row r="239" spans="2:4" ht="16" x14ac:dyDescent="0.2">
      <c r="B239" s="63"/>
      <c r="C239"/>
      <c r="D239"/>
    </row>
    <row r="240" spans="2:4" ht="16" x14ac:dyDescent="0.2">
      <c r="B240" s="63"/>
      <c r="C240"/>
      <c r="D240"/>
    </row>
    <row r="241" spans="2:4" ht="16" x14ac:dyDescent="0.2">
      <c r="B241" s="63"/>
      <c r="C241"/>
      <c r="D241"/>
    </row>
    <row r="242" spans="2:4" ht="16" x14ac:dyDescent="0.2">
      <c r="B242" s="63"/>
      <c r="C242"/>
      <c r="D242"/>
    </row>
    <row r="243" spans="2:4" ht="16" x14ac:dyDescent="0.2">
      <c r="B243" s="63"/>
      <c r="C243"/>
      <c r="D243"/>
    </row>
    <row r="244" spans="2:4" ht="16" x14ac:dyDescent="0.2">
      <c r="B244" s="65"/>
      <c r="C244"/>
      <c r="D244"/>
    </row>
    <row r="245" spans="2:4" ht="16" x14ac:dyDescent="0.2">
      <c r="B245" s="63"/>
      <c r="C245"/>
      <c r="D245"/>
    </row>
    <row r="246" spans="2:4" x14ac:dyDescent="0.15">
      <c r="B246"/>
      <c r="C246"/>
      <c r="D246"/>
    </row>
    <row r="247" spans="2:4" ht="16" x14ac:dyDescent="0.2">
      <c r="B247" s="63"/>
      <c r="C247"/>
      <c r="D247"/>
    </row>
    <row r="248" spans="2:4" x14ac:dyDescent="0.15">
      <c r="B248" s="61"/>
      <c r="C248"/>
      <c r="D248"/>
    </row>
    <row r="249" spans="2:4" ht="16" x14ac:dyDescent="0.2">
      <c r="B249" s="63"/>
      <c r="C249"/>
      <c r="D249"/>
    </row>
    <row r="250" spans="2:4" ht="16" x14ac:dyDescent="0.2">
      <c r="B250" s="63"/>
      <c r="C250"/>
      <c r="D250"/>
    </row>
    <row r="251" spans="2:4" ht="16" x14ac:dyDescent="0.2">
      <c r="B251" s="63"/>
      <c r="C251" s="63"/>
      <c r="D251"/>
    </row>
    <row r="252" spans="2:4" ht="16" x14ac:dyDescent="0.2">
      <c r="B252" s="63"/>
      <c r="C252"/>
      <c r="D252"/>
    </row>
    <row r="253" spans="2:4" x14ac:dyDescent="0.15">
      <c r="B253"/>
      <c r="C253"/>
      <c r="D253"/>
    </row>
    <row r="254" spans="2:4" ht="15" x14ac:dyDescent="0.15">
      <c r="B254" s="68"/>
      <c r="C254"/>
      <c r="D254"/>
    </row>
    <row r="255" spans="2:4" ht="16" x14ac:dyDescent="0.2">
      <c r="B255" s="64"/>
      <c r="C255"/>
      <c r="D255"/>
    </row>
    <row r="256" spans="2:4" ht="16" x14ac:dyDescent="0.2">
      <c r="B256" s="63"/>
      <c r="C256"/>
      <c r="D256"/>
    </row>
    <row r="257" spans="2:4" ht="16" x14ac:dyDescent="0.2">
      <c r="B257" s="64"/>
      <c r="C257"/>
      <c r="D257"/>
    </row>
    <row r="258" spans="2:4" ht="16" x14ac:dyDescent="0.2">
      <c r="B258" s="63"/>
      <c r="C258"/>
      <c r="D258"/>
    </row>
    <row r="259" spans="2:4" ht="16" x14ac:dyDescent="0.2">
      <c r="B259" s="64"/>
      <c r="C259" s="63"/>
      <c r="D259"/>
    </row>
    <row r="260" spans="2:4" ht="16" x14ac:dyDescent="0.2">
      <c r="B260" s="63"/>
      <c r="C260"/>
      <c r="D260"/>
    </row>
    <row r="261" spans="2:4" ht="16" x14ac:dyDescent="0.2">
      <c r="B261" s="64"/>
      <c r="C261"/>
      <c r="D261"/>
    </row>
    <row r="262" spans="2:4" ht="16" x14ac:dyDescent="0.2">
      <c r="B262" s="63"/>
      <c r="C262"/>
      <c r="D262"/>
    </row>
    <row r="263" spans="2:4" ht="16" x14ac:dyDescent="0.2">
      <c r="B263" s="64"/>
      <c r="C263"/>
      <c r="D263"/>
    </row>
    <row r="264" spans="2:4" ht="16" x14ac:dyDescent="0.2">
      <c r="B264" s="63"/>
      <c r="C264"/>
      <c r="D264"/>
    </row>
    <row r="265" spans="2:4" ht="16" x14ac:dyDescent="0.2">
      <c r="B265" s="64"/>
      <c r="C265"/>
      <c r="D265"/>
    </row>
    <row r="266" spans="2:4" ht="16" x14ac:dyDescent="0.2">
      <c r="B266" s="63"/>
      <c r="C266" s="63"/>
      <c r="D266"/>
    </row>
    <row r="267" spans="2:4" x14ac:dyDescent="0.15">
      <c r="B267"/>
      <c r="C267"/>
      <c r="D267"/>
    </row>
    <row r="268" spans="2:4" ht="16" x14ac:dyDescent="0.2">
      <c r="B268" s="64"/>
      <c r="C268"/>
      <c r="D268"/>
    </row>
    <row r="269" spans="2:4" ht="16" x14ac:dyDescent="0.2">
      <c r="B269" s="64"/>
      <c r="C269"/>
      <c r="D269"/>
    </row>
    <row r="270" spans="2:4" ht="16" x14ac:dyDescent="0.2">
      <c r="B270" s="65"/>
      <c r="C270"/>
      <c r="D270"/>
    </row>
    <row r="271" spans="2:4" ht="16" x14ac:dyDescent="0.2">
      <c r="B271" s="65"/>
      <c r="C271"/>
      <c r="D271"/>
    </row>
    <row r="272" spans="2:4" ht="16" x14ac:dyDescent="0.2">
      <c r="B272" s="64"/>
      <c r="C272"/>
      <c r="D272"/>
    </row>
    <row r="273" spans="2:4" ht="16" x14ac:dyDescent="0.2">
      <c r="B273" s="63"/>
      <c r="C273"/>
      <c r="D273"/>
    </row>
    <row r="274" spans="2:4" ht="14" x14ac:dyDescent="0.15">
      <c r="B274" s="69"/>
      <c r="C274"/>
      <c r="D274"/>
    </row>
    <row r="275" spans="2:4" ht="14" x14ac:dyDescent="0.15">
      <c r="B275" s="70"/>
      <c r="C275"/>
      <c r="D275"/>
    </row>
    <row r="276" spans="2:4" x14ac:dyDescent="0.15">
      <c r="B276"/>
      <c r="C276"/>
      <c r="D276"/>
    </row>
    <row r="277" spans="2:4" x14ac:dyDescent="0.15">
      <c r="B277"/>
      <c r="C277"/>
      <c r="D277"/>
    </row>
    <row r="278" spans="2:4" ht="14" x14ac:dyDescent="0.15">
      <c r="B278" s="70"/>
      <c r="C278"/>
      <c r="D278"/>
    </row>
    <row r="279" spans="2:4" ht="14" x14ac:dyDescent="0.15">
      <c r="B279" s="71"/>
      <c r="C279"/>
      <c r="D279"/>
    </row>
    <row r="280" spans="2:4" x14ac:dyDescent="0.15">
      <c r="B280"/>
      <c r="C280"/>
      <c r="D280"/>
    </row>
    <row r="281" spans="2:4" x14ac:dyDescent="0.15">
      <c r="B281"/>
      <c r="C281"/>
      <c r="D281"/>
    </row>
    <row r="282" spans="2:4" x14ac:dyDescent="0.15">
      <c r="B282"/>
      <c r="C282"/>
      <c r="D282"/>
    </row>
    <row r="283" spans="2:4" x14ac:dyDescent="0.15">
      <c r="B283"/>
      <c r="C283"/>
      <c r="D283"/>
    </row>
    <row r="284" spans="2:4" ht="16" x14ac:dyDescent="0.2">
      <c r="B284"/>
      <c r="C284" s="63"/>
      <c r="D284"/>
    </row>
    <row r="285" spans="2:4" ht="14" x14ac:dyDescent="0.15">
      <c r="B285" s="71"/>
      <c r="C285"/>
      <c r="D285"/>
    </row>
    <row r="286" spans="2:4" ht="14" x14ac:dyDescent="0.15">
      <c r="B286" s="71"/>
      <c r="C286"/>
      <c r="D286"/>
    </row>
    <row r="287" spans="2:4" ht="16" x14ac:dyDescent="0.2">
      <c r="B287" s="63"/>
      <c r="C287"/>
      <c r="D287"/>
    </row>
    <row r="288" spans="2:4" ht="16" x14ac:dyDescent="0.2">
      <c r="B288" s="64"/>
      <c r="C288"/>
      <c r="D288"/>
    </row>
    <row r="289" spans="2:4" ht="16" x14ac:dyDescent="0.2">
      <c r="B289" s="64"/>
      <c r="C289"/>
      <c r="D289"/>
    </row>
    <row r="290" spans="2:4" ht="16" x14ac:dyDescent="0.2">
      <c r="B290" s="64"/>
      <c r="C290"/>
      <c r="D290"/>
    </row>
    <row r="291" spans="2:4" ht="16" x14ac:dyDescent="0.2">
      <c r="B291" s="65"/>
      <c r="C291" s="63"/>
      <c r="D291"/>
    </row>
    <row r="292" spans="2:4" ht="16" x14ac:dyDescent="0.2">
      <c r="B292" s="72"/>
      <c r="C292"/>
      <c r="D292"/>
    </row>
    <row r="293" spans="2:4" ht="16" x14ac:dyDescent="0.2">
      <c r="B293" s="72"/>
      <c r="C293"/>
      <c r="D293"/>
    </row>
    <row r="294" spans="2:4" ht="16" x14ac:dyDescent="0.2">
      <c r="B294" s="72"/>
      <c r="C294"/>
      <c r="D294"/>
    </row>
    <row r="295" spans="2:4" x14ac:dyDescent="0.15">
      <c r="B295"/>
      <c r="C295"/>
      <c r="D295"/>
    </row>
    <row r="296" spans="2:4" ht="16" x14ac:dyDescent="0.2">
      <c r="B296" s="72"/>
      <c r="C296"/>
      <c r="D296"/>
    </row>
    <row r="297" spans="2:4" x14ac:dyDescent="0.15">
      <c r="B297"/>
      <c r="C297"/>
      <c r="D297"/>
    </row>
    <row r="298" spans="2:4" ht="16" x14ac:dyDescent="0.2">
      <c r="B298" s="72"/>
      <c r="C298"/>
      <c r="D298"/>
    </row>
    <row r="299" spans="2:4" x14ac:dyDescent="0.15">
      <c r="B299"/>
      <c r="C299"/>
      <c r="D299"/>
    </row>
    <row r="300" spans="2:4" ht="16" x14ac:dyDescent="0.2">
      <c r="B300" s="72"/>
      <c r="C300"/>
      <c r="D300"/>
    </row>
    <row r="301" spans="2:4" ht="16" x14ac:dyDescent="0.2">
      <c r="B301" s="72"/>
      <c r="C301"/>
      <c r="D301"/>
    </row>
    <row r="302" spans="2:4" ht="16" x14ac:dyDescent="0.2">
      <c r="B302" s="65"/>
      <c r="C302"/>
      <c r="D302"/>
    </row>
    <row r="303" spans="2:4" ht="16" x14ac:dyDescent="0.2">
      <c r="B303" s="72"/>
      <c r="C303"/>
      <c r="D303"/>
    </row>
    <row r="304" spans="2:4" x14ac:dyDescent="0.15">
      <c r="B304"/>
      <c r="C304"/>
      <c r="D304"/>
    </row>
    <row r="305" spans="2:4" ht="16" x14ac:dyDescent="0.2">
      <c r="B305" s="72"/>
      <c r="C305"/>
      <c r="D305"/>
    </row>
    <row r="306" spans="2:4" x14ac:dyDescent="0.15">
      <c r="B306"/>
      <c r="C306"/>
      <c r="D306"/>
    </row>
    <row r="307" spans="2:4" ht="14" x14ac:dyDescent="0.15">
      <c r="B307" s="54"/>
      <c r="C307"/>
      <c r="D307"/>
    </row>
    <row r="308" spans="2:4" ht="14" x14ac:dyDescent="0.15">
      <c r="B308" s="54"/>
      <c r="C308"/>
      <c r="D308"/>
    </row>
    <row r="309" spans="2:4" ht="14" x14ac:dyDescent="0.15">
      <c r="B309" s="54"/>
      <c r="C309"/>
      <c r="D309"/>
    </row>
    <row r="310" spans="2:4" ht="14" x14ac:dyDescent="0.15">
      <c r="B310" s="55"/>
      <c r="C310"/>
      <c r="D310"/>
    </row>
    <row r="311" spans="2:4" x14ac:dyDescent="0.15">
      <c r="B311"/>
      <c r="C311"/>
      <c r="D311"/>
    </row>
    <row r="312" spans="2:4" ht="14" x14ac:dyDescent="0.15">
      <c r="B312" s="56"/>
      <c r="C312"/>
      <c r="D312"/>
    </row>
    <row r="313" spans="2:4" ht="14" x14ac:dyDescent="0.15">
      <c r="B313" s="54"/>
      <c r="C313"/>
      <c r="D313"/>
    </row>
    <row r="314" spans="2:4" ht="14" x14ac:dyDescent="0.15">
      <c r="B314"/>
      <c r="C314" s="69"/>
      <c r="D314"/>
    </row>
    <row r="315" spans="2:4" ht="14" x14ac:dyDescent="0.15">
      <c r="B315" s="54"/>
      <c r="C315" s="69"/>
      <c r="D315"/>
    </row>
    <row r="316" spans="2:4" ht="14" x14ac:dyDescent="0.15">
      <c r="B316" s="56"/>
      <c r="C316"/>
      <c r="D316" s="70"/>
    </row>
    <row r="317" spans="2:4" ht="14" x14ac:dyDescent="0.15">
      <c r="B317" s="55"/>
      <c r="C317"/>
      <c r="D317"/>
    </row>
    <row r="318" spans="2:4" ht="14" x14ac:dyDescent="0.15">
      <c r="B318"/>
      <c r="C318"/>
      <c r="D318" s="69"/>
    </row>
    <row r="319" spans="2:4" ht="14" x14ac:dyDescent="0.15">
      <c r="B319" s="55"/>
      <c r="C319"/>
      <c r="D319" s="69"/>
    </row>
    <row r="320" spans="2:4" ht="14" x14ac:dyDescent="0.15">
      <c r="B320"/>
      <c r="C320"/>
      <c r="D320" s="69"/>
    </row>
    <row r="321" spans="2:4" ht="14" x14ac:dyDescent="0.15">
      <c r="B321" s="55"/>
      <c r="C321"/>
      <c r="D321" s="69"/>
    </row>
    <row r="322" spans="2:4" ht="14" x14ac:dyDescent="0.15">
      <c r="B322"/>
      <c r="C322"/>
      <c r="D322" s="69"/>
    </row>
    <row r="323" spans="2:4" ht="14" x14ac:dyDescent="0.15">
      <c r="B323" s="54"/>
      <c r="C323"/>
      <c r="D323"/>
    </row>
    <row r="324" spans="2:4" x14ac:dyDescent="0.15">
      <c r="B324"/>
      <c r="C324"/>
      <c r="D324"/>
    </row>
    <row r="325" spans="2:4" ht="14" x14ac:dyDescent="0.15">
      <c r="B325" s="54"/>
      <c r="C325"/>
      <c r="D325"/>
    </row>
    <row r="326" spans="2:4" ht="14" x14ac:dyDescent="0.15">
      <c r="B326" s="56"/>
      <c r="C326"/>
      <c r="D326"/>
    </row>
    <row r="327" spans="2:4" ht="14" x14ac:dyDescent="0.15">
      <c r="B327" s="56"/>
      <c r="C327"/>
      <c r="D327"/>
    </row>
    <row r="328" spans="2:4" ht="14" x14ac:dyDescent="0.15">
      <c r="B328" s="55"/>
      <c r="C328"/>
      <c r="D328"/>
    </row>
    <row r="329" spans="2:4" x14ac:dyDescent="0.15">
      <c r="B329"/>
      <c r="C329"/>
      <c r="D329"/>
    </row>
    <row r="330" spans="2:4" x14ac:dyDescent="0.15">
      <c r="B330"/>
      <c r="C330"/>
      <c r="D330"/>
    </row>
    <row r="331" spans="2:4" x14ac:dyDescent="0.15">
      <c r="B331"/>
      <c r="C331"/>
      <c r="D331"/>
    </row>
    <row r="332" spans="2:4" x14ac:dyDescent="0.15">
      <c r="B332"/>
      <c r="C332"/>
      <c r="D332"/>
    </row>
    <row r="333" spans="2:4" ht="16" x14ac:dyDescent="0.2">
      <c r="B333" s="54"/>
      <c r="C333" s="53"/>
      <c r="D333"/>
    </row>
    <row r="334" spans="2:4" x14ac:dyDescent="0.15">
      <c r="B334"/>
      <c r="C334"/>
      <c r="D334"/>
    </row>
    <row r="335" spans="2:4" ht="16" x14ac:dyDescent="0.2">
      <c r="B335" s="54"/>
      <c r="C335" s="53"/>
      <c r="D335"/>
    </row>
    <row r="336" spans="2:4" ht="14" x14ac:dyDescent="0.15">
      <c r="B336" s="54"/>
      <c r="C336"/>
      <c r="D336"/>
    </row>
    <row r="337" spans="2:4" ht="16" x14ac:dyDescent="0.2">
      <c r="B337" s="53"/>
      <c r="C337" s="53"/>
      <c r="D337"/>
    </row>
    <row r="338" spans="2:4" ht="14" x14ac:dyDescent="0.15">
      <c r="B338" s="54"/>
      <c r="C338"/>
      <c r="D338"/>
    </row>
    <row r="339" spans="2:4" ht="14" x14ac:dyDescent="0.15">
      <c r="B339" s="56"/>
      <c r="C339"/>
      <c r="D339"/>
    </row>
    <row r="340" spans="2:4" ht="14" x14ac:dyDescent="0.15">
      <c r="B340" s="55"/>
      <c r="C340"/>
      <c r="D340"/>
    </row>
    <row r="341" spans="2:4" ht="14" x14ac:dyDescent="0.15">
      <c r="B341" s="56"/>
      <c r="C341"/>
      <c r="D341"/>
    </row>
    <row r="342" spans="2:4" ht="16" x14ac:dyDescent="0.2">
      <c r="B342" s="55"/>
      <c r="C342" s="53"/>
      <c r="D342"/>
    </row>
    <row r="343" spans="2:4" x14ac:dyDescent="0.15">
      <c r="B343"/>
      <c r="C343"/>
      <c r="D343"/>
    </row>
    <row r="344" spans="2:4" ht="16" x14ac:dyDescent="0.2">
      <c r="B344" s="56"/>
      <c r="C344" s="53"/>
      <c r="D344"/>
    </row>
    <row r="345" spans="2:4" ht="14" x14ac:dyDescent="0.15">
      <c r="B345" s="54"/>
      <c r="C345"/>
      <c r="D345"/>
    </row>
    <row r="346" spans="2:4" ht="16" x14ac:dyDescent="0.2">
      <c r="B346" s="53"/>
      <c r="C346"/>
      <c r="D346"/>
    </row>
    <row r="347" spans="2:4" ht="14" x14ac:dyDescent="0.15">
      <c r="B347" s="54"/>
      <c r="C347"/>
      <c r="D347"/>
    </row>
    <row r="348" spans="2:4" ht="14" x14ac:dyDescent="0.15">
      <c r="B348" s="56"/>
      <c r="C348"/>
      <c r="D348"/>
    </row>
    <row r="349" spans="2:4" ht="14" x14ac:dyDescent="0.15">
      <c r="B349" s="55"/>
      <c r="C349" s="54"/>
      <c r="D349"/>
    </row>
    <row r="350" spans="2:4" ht="14" x14ac:dyDescent="0.15">
      <c r="B350" s="56"/>
      <c r="C350"/>
      <c r="D350"/>
    </row>
    <row r="351" spans="2:4" x14ac:dyDescent="0.15">
      <c r="B351"/>
      <c r="C351"/>
      <c r="D351"/>
    </row>
    <row r="352" spans="2:4" ht="16" x14ac:dyDescent="0.2">
      <c r="B352" s="55"/>
      <c r="C352" s="53"/>
      <c r="D352"/>
    </row>
    <row r="353" spans="2:4" x14ac:dyDescent="0.15">
      <c r="B353"/>
      <c r="C353"/>
      <c r="D353"/>
    </row>
    <row r="354" spans="2:4" x14ac:dyDescent="0.15">
      <c r="B354"/>
      <c r="C354"/>
      <c r="D354"/>
    </row>
    <row r="355" spans="2:4" x14ac:dyDescent="0.15">
      <c r="B355"/>
      <c r="C355"/>
      <c r="D355"/>
    </row>
    <row r="356" spans="2:4" ht="14" x14ac:dyDescent="0.15">
      <c r="B356" s="54"/>
      <c r="C356" s="54"/>
      <c r="D356"/>
    </row>
    <row r="357" spans="2:4" ht="14" x14ac:dyDescent="0.15">
      <c r="B357" s="54"/>
      <c r="C357"/>
      <c r="D357"/>
    </row>
    <row r="358" spans="2:4" ht="16" x14ac:dyDescent="0.2">
      <c r="B358" s="65"/>
      <c r="C358" s="54"/>
      <c r="D358"/>
    </row>
    <row r="359" spans="2:4" ht="14" x14ac:dyDescent="0.15">
      <c r="B359" s="54"/>
      <c r="C359"/>
      <c r="D359"/>
    </row>
    <row r="360" spans="2:4" ht="14" x14ac:dyDescent="0.15">
      <c r="B360"/>
      <c r="C360" s="54"/>
      <c r="D360"/>
    </row>
    <row r="361" spans="2:4" ht="16" x14ac:dyDescent="0.2">
      <c r="B361" s="72"/>
      <c r="C361"/>
      <c r="D361"/>
    </row>
    <row r="362" spans="2:4" ht="16" x14ac:dyDescent="0.2">
      <c r="B362"/>
      <c r="C362" s="53"/>
      <c r="D362"/>
    </row>
    <row r="363" spans="2:4" ht="16" x14ac:dyDescent="0.2">
      <c r="B363" s="72"/>
      <c r="C363"/>
      <c r="D363"/>
    </row>
    <row r="364" spans="2:4" x14ac:dyDescent="0.15">
      <c r="B364"/>
      <c r="C364"/>
      <c r="D364"/>
    </row>
    <row r="365" spans="2:4" ht="16" x14ac:dyDescent="0.2">
      <c r="B365" s="72"/>
      <c r="C365"/>
      <c r="D365"/>
    </row>
    <row r="366" spans="2:4" ht="16" x14ac:dyDescent="0.2">
      <c r="B366" s="53"/>
      <c r="C366"/>
      <c r="D366"/>
    </row>
    <row r="367" spans="2:4" ht="14" x14ac:dyDescent="0.15">
      <c r="B367" s="54"/>
      <c r="C367" s="54"/>
      <c r="D367"/>
    </row>
    <row r="368" spans="2:4" ht="14" x14ac:dyDescent="0.15">
      <c r="B368" s="55"/>
      <c r="C368" s="54"/>
      <c r="D368"/>
    </row>
    <row r="369" spans="2:4" ht="14" x14ac:dyDescent="0.15">
      <c r="B369" s="55"/>
      <c r="C369" s="54"/>
      <c r="D369"/>
    </row>
    <row r="370" spans="2:4" ht="14" x14ac:dyDescent="0.15">
      <c r="B370" s="56"/>
      <c r="C370" s="54"/>
      <c r="D370"/>
    </row>
    <row r="371" spans="2:4" ht="14" x14ac:dyDescent="0.15">
      <c r="B371" s="55"/>
      <c r="C371"/>
      <c r="D371"/>
    </row>
    <row r="372" spans="2:4" ht="16" x14ac:dyDescent="0.2">
      <c r="B372" s="56"/>
      <c r="C372" s="53"/>
      <c r="D372"/>
    </row>
    <row r="373" spans="2:4" x14ac:dyDescent="0.15">
      <c r="B373"/>
      <c r="C373"/>
      <c r="D373"/>
    </row>
    <row r="374" spans="2:4" ht="14" x14ac:dyDescent="0.15">
      <c r="B374" s="55"/>
      <c r="C374"/>
      <c r="D374"/>
    </row>
    <row r="375" spans="2:4" ht="16" x14ac:dyDescent="0.2">
      <c r="B375" s="63"/>
      <c r="C375"/>
      <c r="D375"/>
    </row>
    <row r="376" spans="2:4" ht="16" x14ac:dyDescent="0.2">
      <c r="B376" s="64"/>
      <c r="C376"/>
      <c r="D376"/>
    </row>
    <row r="377" spans="2:4" ht="16" x14ac:dyDescent="0.2">
      <c r="B377" s="72"/>
      <c r="C377"/>
      <c r="D377"/>
    </row>
    <row r="378" spans="2:4" ht="16" x14ac:dyDescent="0.2">
      <c r="B378" s="64"/>
      <c r="C378"/>
      <c r="D378"/>
    </row>
    <row r="379" spans="2:4" ht="16" x14ac:dyDescent="0.2">
      <c r="B379" s="72"/>
      <c r="C379"/>
      <c r="D379"/>
    </row>
    <row r="380" spans="2:4" ht="16" x14ac:dyDescent="0.2">
      <c r="B380" s="72"/>
      <c r="C380"/>
      <c r="D380"/>
    </row>
    <row r="381" spans="2:4" ht="16" x14ac:dyDescent="0.2">
      <c r="B381" s="65"/>
      <c r="C381" s="54"/>
      <c r="D381"/>
    </row>
    <row r="382" spans="2:4" ht="16" x14ac:dyDescent="0.2">
      <c r="B382" s="72"/>
      <c r="C382"/>
      <c r="D382"/>
    </row>
    <row r="383" spans="2:4" ht="16" x14ac:dyDescent="0.2">
      <c r="B383" s="64"/>
      <c r="C383"/>
      <c r="D383"/>
    </row>
    <row r="384" spans="2:4" ht="16" x14ac:dyDescent="0.2">
      <c r="B384" s="63"/>
      <c r="C384"/>
      <c r="D384"/>
    </row>
    <row r="385" spans="2:4" ht="16" x14ac:dyDescent="0.2">
      <c r="B385" s="63"/>
      <c r="C385"/>
      <c r="D385"/>
    </row>
    <row r="386" spans="2:4" ht="16" x14ac:dyDescent="0.2">
      <c r="B386" s="57"/>
      <c r="C386"/>
      <c r="D386"/>
    </row>
    <row r="387" spans="2:4" ht="16" x14ac:dyDescent="0.2">
      <c r="B387" s="57"/>
      <c r="C387"/>
      <c r="D387"/>
    </row>
    <row r="388" spans="2:4" ht="16" x14ac:dyDescent="0.2">
      <c r="B388" s="63"/>
      <c r="C388"/>
      <c r="D388"/>
    </row>
    <row r="389" spans="2:4" ht="16" x14ac:dyDescent="0.2">
      <c r="B389" s="57"/>
      <c r="C389" s="54"/>
      <c r="D389"/>
    </row>
    <row r="390" spans="2:4" ht="16" x14ac:dyDescent="0.2">
      <c r="B390" s="63"/>
      <c r="C390"/>
      <c r="D390"/>
    </row>
    <row r="391" spans="2:4" ht="16" x14ac:dyDescent="0.2">
      <c r="B391" s="64"/>
      <c r="C391" s="54"/>
      <c r="D391"/>
    </row>
    <row r="392" spans="2:4" ht="16" x14ac:dyDescent="0.2">
      <c r="B392" s="64"/>
      <c r="C392" s="54"/>
      <c r="D392"/>
    </row>
    <row r="393" spans="2:4" ht="14" x14ac:dyDescent="0.15">
      <c r="B393" s="54"/>
      <c r="C393" s="54"/>
      <c r="D393"/>
    </row>
    <row r="394" spans="2:4" ht="14" x14ac:dyDescent="0.15">
      <c r="B394" s="55"/>
      <c r="C394"/>
      <c r="D394"/>
    </row>
    <row r="395" spans="2:4" ht="14" x14ac:dyDescent="0.15">
      <c r="B395" s="55"/>
      <c r="C395"/>
      <c r="D395"/>
    </row>
    <row r="396" spans="2:4" ht="14" x14ac:dyDescent="0.15">
      <c r="B396" s="56"/>
      <c r="C396"/>
      <c r="D396"/>
    </row>
    <row r="397" spans="2:4" ht="14" x14ac:dyDescent="0.15">
      <c r="B397" s="56"/>
      <c r="C397"/>
      <c r="D397"/>
    </row>
    <row r="398" spans="2:4" ht="16" x14ac:dyDescent="0.2">
      <c r="B398"/>
      <c r="C398" s="53"/>
      <c r="D398"/>
    </row>
    <row r="399" spans="2:4" ht="14" x14ac:dyDescent="0.15">
      <c r="B399" s="55"/>
      <c r="C399"/>
      <c r="D399"/>
    </row>
    <row r="400" spans="2:4" ht="16" x14ac:dyDescent="0.2">
      <c r="B400"/>
      <c r="C400" s="53"/>
      <c r="D400"/>
    </row>
    <row r="401" spans="2:4" ht="14" x14ac:dyDescent="0.15">
      <c r="B401" s="73"/>
      <c r="C401"/>
      <c r="D401"/>
    </row>
    <row r="402" spans="2:4" ht="16" x14ac:dyDescent="0.2">
      <c r="B402" s="54"/>
      <c r="C402" s="53"/>
      <c r="D402"/>
    </row>
    <row r="403" spans="2:4" x14ac:dyDescent="0.15">
      <c r="B403"/>
      <c r="C403"/>
      <c r="D403"/>
    </row>
    <row r="404" spans="2:4" ht="16" x14ac:dyDescent="0.2">
      <c r="B404" s="72"/>
      <c r="C404"/>
      <c r="D404"/>
    </row>
    <row r="405" spans="2:4" x14ac:dyDescent="0.15">
      <c r="B405"/>
      <c r="C405"/>
      <c r="D405"/>
    </row>
    <row r="406" spans="2:4" ht="16" x14ac:dyDescent="0.2">
      <c r="B406" s="72"/>
      <c r="C406"/>
      <c r="D406"/>
    </row>
    <row r="407" spans="2:4" ht="16" x14ac:dyDescent="0.2">
      <c r="B407" s="53"/>
      <c r="C407"/>
      <c r="D407"/>
    </row>
    <row r="408" spans="2:4" ht="14" x14ac:dyDescent="0.15">
      <c r="B408" s="54"/>
      <c r="C408"/>
      <c r="D408"/>
    </row>
    <row r="409" spans="2:4" ht="14" x14ac:dyDescent="0.15">
      <c r="B409" s="56"/>
      <c r="C409"/>
      <c r="D409"/>
    </row>
    <row r="410" spans="2:4" ht="14" x14ac:dyDescent="0.15">
      <c r="B410" s="56"/>
      <c r="C410"/>
      <c r="D410"/>
    </row>
    <row r="411" spans="2:4" ht="14" x14ac:dyDescent="0.15">
      <c r="B411"/>
      <c r="C411" s="54"/>
      <c r="D411"/>
    </row>
    <row r="412" spans="2:4" x14ac:dyDescent="0.15">
      <c r="B412"/>
      <c r="C412"/>
      <c r="D412"/>
    </row>
    <row r="413" spans="2:4" x14ac:dyDescent="0.15">
      <c r="B413"/>
      <c r="C413"/>
      <c r="D413"/>
    </row>
    <row r="414" spans="2:4" ht="16" x14ac:dyDescent="0.2">
      <c r="B414" s="72"/>
      <c r="C414"/>
      <c r="D414"/>
    </row>
    <row r="415" spans="2:4" ht="16" x14ac:dyDescent="0.2">
      <c r="B415" s="72"/>
      <c r="C415"/>
      <c r="D415"/>
    </row>
    <row r="416" spans="2:4" ht="16" x14ac:dyDescent="0.2">
      <c r="B416" s="65"/>
      <c r="C416"/>
      <c r="D416"/>
    </row>
    <row r="417" spans="2:4" ht="16" x14ac:dyDescent="0.2">
      <c r="B417" s="65"/>
      <c r="C417"/>
      <c r="D417"/>
    </row>
    <row r="418" spans="2:4" ht="16" x14ac:dyDescent="0.2">
      <c r="B418" s="53"/>
      <c r="C418"/>
      <c r="D418"/>
    </row>
    <row r="419" spans="2:4" ht="16" x14ac:dyDescent="0.2">
      <c r="B419" s="63"/>
      <c r="C419"/>
      <c r="D419"/>
    </row>
    <row r="420" spans="2:4" ht="16" x14ac:dyDescent="0.2">
      <c r="B420" s="72"/>
      <c r="C420"/>
      <c r="D420"/>
    </row>
    <row r="421" spans="2:4" ht="16" x14ac:dyDescent="0.2">
      <c r="B421" s="64"/>
      <c r="C421"/>
      <c r="D421"/>
    </row>
    <row r="422" spans="2:4" ht="16" x14ac:dyDescent="0.2">
      <c r="B422" s="63"/>
      <c r="C422" s="63"/>
      <c r="D422"/>
    </row>
    <row r="423" spans="2:4" ht="16" x14ac:dyDescent="0.2">
      <c r="B423" s="64"/>
      <c r="C423"/>
      <c r="D423"/>
    </row>
    <row r="424" spans="2:4" ht="16" x14ac:dyDescent="0.2">
      <c r="B424" s="63"/>
      <c r="C424" s="57"/>
      <c r="D424"/>
    </row>
    <row r="425" spans="2:4" x14ac:dyDescent="0.15">
      <c r="C425"/>
      <c r="D425"/>
    </row>
    <row r="426" spans="2:4" x14ac:dyDescent="0.15">
      <c r="C426"/>
      <c r="D426"/>
    </row>
    <row r="427" spans="2:4" x14ac:dyDescent="0.15">
      <c r="C427"/>
      <c r="D427"/>
    </row>
    <row r="428" spans="2:4" x14ac:dyDescent="0.15">
      <c r="C428"/>
      <c r="D428"/>
    </row>
    <row r="429" spans="2:4" x14ac:dyDescent="0.15">
      <c r="C429"/>
      <c r="D429"/>
    </row>
    <row r="430" spans="2:4" x14ac:dyDescent="0.15">
      <c r="C430"/>
      <c r="D430"/>
    </row>
    <row r="431" spans="2:4" x14ac:dyDescent="0.15">
      <c r="C431"/>
      <c r="D431"/>
    </row>
    <row r="432" spans="2:4" x14ac:dyDescent="0.15">
      <c r="C432"/>
      <c r="D432"/>
    </row>
    <row r="433" spans="3:4" x14ac:dyDescent="0.15">
      <c r="C433"/>
      <c r="D433"/>
    </row>
    <row r="434" spans="3:4" x14ac:dyDescent="0.15">
      <c r="C434"/>
      <c r="D434"/>
    </row>
    <row r="435" spans="3:4" x14ac:dyDescent="0.15">
      <c r="C435"/>
      <c r="D435"/>
    </row>
    <row r="436" spans="3:4" ht="14" x14ac:dyDescent="0.15">
      <c r="C436" s="54"/>
      <c r="D436"/>
    </row>
    <row r="437" spans="3:4" x14ac:dyDescent="0.15">
      <c r="C437"/>
      <c r="D437"/>
    </row>
    <row r="438" spans="3:4" ht="14" x14ac:dyDescent="0.15">
      <c r="C438" s="54"/>
      <c r="D438"/>
    </row>
    <row r="439" spans="3:4" x14ac:dyDescent="0.15">
      <c r="C439"/>
      <c r="D439"/>
    </row>
    <row r="440" spans="3:4" x14ac:dyDescent="0.15">
      <c r="C440"/>
      <c r="D440"/>
    </row>
    <row r="441" spans="3:4" ht="16" x14ac:dyDescent="0.2">
      <c r="C441" s="53"/>
      <c r="D441"/>
    </row>
    <row r="442" spans="3:4" x14ac:dyDescent="0.15">
      <c r="C442"/>
      <c r="D442"/>
    </row>
    <row r="443" spans="3:4" ht="16" x14ac:dyDescent="0.2">
      <c r="C443" s="53"/>
      <c r="D443"/>
    </row>
    <row r="444" spans="3:4" x14ac:dyDescent="0.15">
      <c r="C444"/>
      <c r="D444"/>
    </row>
    <row r="445" spans="3:4" x14ac:dyDescent="0.15">
      <c r="C445"/>
      <c r="D445"/>
    </row>
    <row r="446" spans="3:4" x14ac:dyDescent="0.15">
      <c r="C446"/>
      <c r="D446"/>
    </row>
    <row r="447" spans="3:4" x14ac:dyDescent="0.15">
      <c r="C447"/>
      <c r="D447"/>
    </row>
    <row r="448" spans="3:4" x14ac:dyDescent="0.15">
      <c r="C448"/>
      <c r="D448"/>
    </row>
    <row r="449" spans="3:4" ht="14" x14ac:dyDescent="0.15">
      <c r="C449" s="54"/>
      <c r="D449"/>
    </row>
    <row r="450" spans="3:4" ht="14" x14ac:dyDescent="0.15">
      <c r="C450" s="54"/>
      <c r="D450"/>
    </row>
    <row r="451" spans="3:4" ht="14" x14ac:dyDescent="0.15">
      <c r="C451" s="54"/>
      <c r="D451"/>
    </row>
    <row r="452" spans="3:4" x14ac:dyDescent="0.15">
      <c r="C452"/>
      <c r="D452"/>
    </row>
    <row r="453" spans="3:4" x14ac:dyDescent="0.15">
      <c r="C453"/>
      <c r="D453"/>
    </row>
    <row r="454" spans="3:4" x14ac:dyDescent="0.15">
      <c r="C454"/>
      <c r="D454"/>
    </row>
    <row r="455" spans="3:4" x14ac:dyDescent="0.15">
      <c r="C455"/>
      <c r="D455"/>
    </row>
    <row r="456" spans="3:4" x14ac:dyDescent="0.15">
      <c r="C456"/>
      <c r="D456"/>
    </row>
    <row r="457" spans="3:4" x14ac:dyDescent="0.15">
      <c r="C457"/>
      <c r="D457"/>
    </row>
    <row r="458" spans="3:4" x14ac:dyDescent="0.15">
      <c r="C458"/>
      <c r="D458"/>
    </row>
    <row r="459" spans="3:4" x14ac:dyDescent="0.15">
      <c r="C459"/>
      <c r="D459"/>
    </row>
    <row r="460" spans="3:4" x14ac:dyDescent="0.15">
      <c r="C460"/>
      <c r="D460"/>
    </row>
    <row r="461" spans="3:4" x14ac:dyDescent="0.15">
      <c r="C461"/>
      <c r="D461"/>
    </row>
    <row r="462" spans="3:4" x14ac:dyDescent="0.15">
      <c r="C462"/>
      <c r="D462"/>
    </row>
  </sheetData>
  <sheetProtection algorithmName="SHA-512" hashValue="Qf6QNe5wMO/qLI7ghqtqssha9SvOnrzqBsz6jyhMhXsVXm6ejtYKd9x0/HpSDJ8qivDKbl90zo7rzsgb73Humg==" saltValue="9Po/kHRO8lAk7hZBZQBTsA==" spinCount="100000" sheet="1" objects="1" scenarios="1" selectLockedCells="1" selectUnlockedCells="1"/>
  <customSheetViews>
    <customSheetView guid="{B1378614-543A-7248-A620-ABE87072D4CE}" scale="200" showGridLines="0" showRowCol="0" showRuler="0">
      <selection activeCell="B5" sqref="B5"/>
      <rowBreaks count="2" manualBreakCount="2">
        <brk id="81" max="16383" man="1"/>
        <brk id="83" max="16383" man="1"/>
      </rowBreaks>
      <pageMargins left="0.25" right="0.25" top="0.75" bottom="0.75" header="0.3" footer="0.3"/>
      <printOptions horizontalCentered="1" verticalCentered="1"/>
      <pageSetup orientation="portrait" horizontalDpi="300" verticalDpi="300"/>
    </customSheetView>
    <customSheetView guid="{DB569172-C410-4CCD-B270-56E8B6227EED}" scale="200" showGridLines="0" showRowCol="0" showRuler="0">
      <selection activeCell="B5" sqref="B5"/>
      <rowBreaks count="2" manualBreakCount="2">
        <brk id="81" max="16383" man="1"/>
        <brk id="83" max="16383" man="1"/>
      </rowBreaks>
      <pageMargins left="0.25" right="0.25" top="0.75" bottom="0.75" header="0.3" footer="0.3"/>
      <printOptions horizontalCentered="1" verticalCentered="1"/>
      <pageSetup orientation="portrait" horizontalDpi="300" verticalDpi="300"/>
    </customSheetView>
  </customSheetViews>
  <mergeCells count="1">
    <mergeCell ref="B7:B8"/>
  </mergeCells>
  <phoneticPr fontId="0" type="noConversion"/>
  <printOptions horizontalCentered="1" verticalCentered="1"/>
  <pageMargins left="0.25" right="0.25" top="0.75" bottom="0.75" header="0.3" footer="0.3"/>
  <pageSetup orientation="portrait" horizontalDpi="300" verticalDpi="300"/>
  <rowBreaks count="2" manualBreakCount="2">
    <brk id="81" max="16383" man="1"/>
    <brk id="83"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446</vt:i4>
      </vt:variant>
    </vt:vector>
  </HeadingPairs>
  <TitlesOfParts>
    <vt:vector size="452" baseType="lpstr">
      <vt:lpstr>Questions</vt:lpstr>
      <vt:lpstr>Calculations</vt:lpstr>
      <vt:lpstr>The MID Report</vt:lpstr>
      <vt:lpstr>MID Line Graphs</vt:lpstr>
      <vt:lpstr>MID Bar Graphs</vt:lpstr>
      <vt:lpstr>Credits and Notes</vt:lpstr>
      <vt:lpstr>_CritA</vt:lpstr>
      <vt:lpstr>_CritA2</vt:lpstr>
      <vt:lpstr>_CritA3</vt:lpstr>
      <vt:lpstr>_CritA4</vt:lpstr>
      <vt:lpstr>_CritB</vt:lpstr>
      <vt:lpstr>_CritB9</vt:lpstr>
      <vt:lpstr>_CritC</vt:lpstr>
      <vt:lpstr>_Q1</vt:lpstr>
      <vt:lpstr>_Q10</vt:lpstr>
      <vt:lpstr>_Q100</vt:lpstr>
      <vt:lpstr>_Q101</vt:lpstr>
      <vt:lpstr>_Q102</vt:lpstr>
      <vt:lpstr>_Q103</vt:lpstr>
      <vt:lpstr>_Q104</vt:lpstr>
      <vt:lpstr>_Q105</vt:lpstr>
      <vt:lpstr>_Q106</vt:lpstr>
      <vt:lpstr>_Q107</vt:lpstr>
      <vt:lpstr>_Q108</vt:lpstr>
      <vt:lpstr>_Q109</vt:lpstr>
      <vt:lpstr>_Q11</vt:lpstr>
      <vt:lpstr>_Q110</vt:lpstr>
      <vt:lpstr>_Q111</vt:lpstr>
      <vt:lpstr>_Q112</vt:lpstr>
      <vt:lpstr>_Q113</vt:lpstr>
      <vt:lpstr>_Q114</vt:lpstr>
      <vt:lpstr>_Q115</vt:lpstr>
      <vt:lpstr>_Q116</vt:lpstr>
      <vt:lpstr>_Q117</vt:lpstr>
      <vt:lpstr>_Q118</vt:lpstr>
      <vt:lpstr>_Q119</vt:lpstr>
      <vt:lpstr>_Q12</vt:lpstr>
      <vt:lpstr>_Q120</vt:lpstr>
      <vt:lpstr>_Q121</vt:lpstr>
      <vt:lpstr>_Q122</vt:lpstr>
      <vt:lpstr>_Q123</vt:lpstr>
      <vt:lpstr>_Q124</vt:lpstr>
      <vt:lpstr>_Q125</vt:lpstr>
      <vt:lpstr>_Q126</vt:lpstr>
      <vt:lpstr>_Q127</vt:lpstr>
      <vt:lpstr>_Q128</vt:lpstr>
      <vt:lpstr>_Q129</vt:lpstr>
      <vt:lpstr>_Q13</vt:lpstr>
      <vt:lpstr>_Q130</vt:lpstr>
      <vt:lpstr>_Q131</vt:lpstr>
      <vt:lpstr>_Q132</vt:lpstr>
      <vt:lpstr>_Q133</vt:lpstr>
      <vt:lpstr>_Q134</vt:lpstr>
      <vt:lpstr>_Q135</vt:lpstr>
      <vt:lpstr>_Q136</vt:lpstr>
      <vt:lpstr>_Q137</vt:lpstr>
      <vt:lpstr>_Q138</vt:lpstr>
      <vt:lpstr>_Q139</vt:lpstr>
      <vt:lpstr>_Q14</vt:lpstr>
      <vt:lpstr>_Q140</vt:lpstr>
      <vt:lpstr>_Q141</vt:lpstr>
      <vt:lpstr>_Q142</vt:lpstr>
      <vt:lpstr>_Q143</vt:lpstr>
      <vt:lpstr>_Q144</vt:lpstr>
      <vt:lpstr>_Q145</vt:lpstr>
      <vt:lpstr>_Q146</vt:lpstr>
      <vt:lpstr>_Q147</vt:lpstr>
      <vt:lpstr>_Q148</vt:lpstr>
      <vt:lpstr>_Q149</vt:lpstr>
      <vt:lpstr>_Q15</vt:lpstr>
      <vt:lpstr>_Q150</vt:lpstr>
      <vt:lpstr>_Q151</vt:lpstr>
      <vt:lpstr>_Q152</vt:lpstr>
      <vt:lpstr>_Q153</vt:lpstr>
      <vt:lpstr>_Q154</vt:lpstr>
      <vt:lpstr>_Q155</vt:lpstr>
      <vt:lpstr>_Q156</vt:lpstr>
      <vt:lpstr>_Q157</vt:lpstr>
      <vt:lpstr>_Q158</vt:lpstr>
      <vt:lpstr>_Q159</vt:lpstr>
      <vt:lpstr>_Q16</vt:lpstr>
      <vt:lpstr>_Q160</vt:lpstr>
      <vt:lpstr>_Q161</vt:lpstr>
      <vt:lpstr>_Q162</vt:lpstr>
      <vt:lpstr>_Q163</vt:lpstr>
      <vt:lpstr>_Q164</vt:lpstr>
      <vt:lpstr>_Q165</vt:lpstr>
      <vt:lpstr>_Q166</vt:lpstr>
      <vt:lpstr>_Q167</vt:lpstr>
      <vt:lpstr>_Q168</vt:lpstr>
      <vt:lpstr>_Q169</vt:lpstr>
      <vt:lpstr>_Q17</vt:lpstr>
      <vt:lpstr>_Q170</vt:lpstr>
      <vt:lpstr>_Q171</vt:lpstr>
      <vt:lpstr>_Q172</vt:lpstr>
      <vt:lpstr>_Q173</vt:lpstr>
      <vt:lpstr>_Q174</vt:lpstr>
      <vt:lpstr>_Q175</vt:lpstr>
      <vt:lpstr>_Q176</vt:lpstr>
      <vt:lpstr>_Q177</vt:lpstr>
      <vt:lpstr>_Q178</vt:lpstr>
      <vt:lpstr>_Q179</vt:lpstr>
      <vt:lpstr>_Q18</vt:lpstr>
      <vt:lpstr>_Q180</vt:lpstr>
      <vt:lpstr>_Q181</vt:lpstr>
      <vt:lpstr>_Q182</vt:lpstr>
      <vt:lpstr>_Q183</vt:lpstr>
      <vt:lpstr>_Q184</vt:lpstr>
      <vt:lpstr>_Q185</vt:lpstr>
      <vt:lpstr>_Q186</vt:lpstr>
      <vt:lpstr>_Q187</vt:lpstr>
      <vt:lpstr>_Q188</vt:lpstr>
      <vt:lpstr>_Q189</vt:lpstr>
      <vt:lpstr>_Q19</vt:lpstr>
      <vt:lpstr>_Q190</vt:lpstr>
      <vt:lpstr>_Q191</vt:lpstr>
      <vt:lpstr>_Q192</vt:lpstr>
      <vt:lpstr>_Q193</vt:lpstr>
      <vt:lpstr>_Q194</vt:lpstr>
      <vt:lpstr>_Q195</vt:lpstr>
      <vt:lpstr>_Q196</vt:lpstr>
      <vt:lpstr>_Q197</vt:lpstr>
      <vt:lpstr>_Q198</vt:lpstr>
      <vt:lpstr>_Q199</vt:lpstr>
      <vt:lpstr>_Q2</vt:lpstr>
      <vt:lpstr>_Q20</vt:lpstr>
      <vt:lpstr>_Q200</vt:lpstr>
      <vt:lpstr>_Q201</vt:lpstr>
      <vt:lpstr>_Q202</vt:lpstr>
      <vt:lpstr>_Q203</vt:lpstr>
      <vt:lpstr>_Q204</vt:lpstr>
      <vt:lpstr>_Q205</vt:lpstr>
      <vt:lpstr>_Q206</vt:lpstr>
      <vt:lpstr>_Q207</vt:lpstr>
      <vt:lpstr>_Q208</vt:lpstr>
      <vt:lpstr>_Q209</vt:lpstr>
      <vt:lpstr>_Q21</vt:lpstr>
      <vt:lpstr>_Q210</vt:lpstr>
      <vt:lpstr>_Q211</vt:lpstr>
      <vt:lpstr>_Q212</vt:lpstr>
      <vt:lpstr>_Q213</vt:lpstr>
      <vt:lpstr>_Q214</vt:lpstr>
      <vt:lpstr>_Q215</vt:lpstr>
      <vt:lpstr>_Q216</vt:lpstr>
      <vt:lpstr>_Q217</vt:lpstr>
      <vt:lpstr>_Q218</vt:lpstr>
      <vt:lpstr>_Q22</vt:lpstr>
      <vt:lpstr>_Q23</vt:lpstr>
      <vt:lpstr>_Q24</vt:lpstr>
      <vt:lpstr>_Q25</vt:lpstr>
      <vt:lpstr>_Q26</vt:lpstr>
      <vt:lpstr>_Q27</vt:lpstr>
      <vt:lpstr>_Q28</vt:lpstr>
      <vt:lpstr>_Q29</vt:lpstr>
      <vt:lpstr>_Q3</vt:lpstr>
      <vt:lpstr>_Q30</vt:lpstr>
      <vt:lpstr>_Q31</vt:lpstr>
      <vt:lpstr>_Q32</vt:lpstr>
      <vt:lpstr>_Q33</vt:lpstr>
      <vt:lpstr>_Q34</vt:lpstr>
      <vt:lpstr>_Q35</vt:lpstr>
      <vt:lpstr>_Q36</vt:lpstr>
      <vt:lpstr>_Q37</vt:lpstr>
      <vt:lpstr>_Q38</vt:lpstr>
      <vt:lpstr>_Q39</vt:lpstr>
      <vt:lpstr>_Q4</vt:lpstr>
      <vt:lpstr>_Q40</vt:lpstr>
      <vt:lpstr>_Q41</vt:lpstr>
      <vt:lpstr>_Q42</vt:lpstr>
      <vt:lpstr>_Q43</vt:lpstr>
      <vt:lpstr>_Q44</vt:lpstr>
      <vt:lpstr>_Q45</vt:lpstr>
      <vt:lpstr>_Q46</vt:lpstr>
      <vt:lpstr>_Q47</vt:lpstr>
      <vt:lpstr>_Q48</vt:lpstr>
      <vt:lpstr>_Q49</vt:lpstr>
      <vt:lpstr>_Q5</vt:lpstr>
      <vt:lpstr>_Q50</vt:lpstr>
      <vt:lpstr>_Q51</vt:lpstr>
      <vt:lpstr>_Q52</vt:lpstr>
      <vt:lpstr>_Q53</vt:lpstr>
      <vt:lpstr>_Q54</vt:lpstr>
      <vt:lpstr>_Q55</vt:lpstr>
      <vt:lpstr>_Q56</vt:lpstr>
      <vt:lpstr>_Q57</vt:lpstr>
      <vt:lpstr>_Q58</vt:lpstr>
      <vt:lpstr>_Q59</vt:lpstr>
      <vt:lpstr>_Q6</vt:lpstr>
      <vt:lpstr>_Q60</vt:lpstr>
      <vt:lpstr>_Q61</vt:lpstr>
      <vt:lpstr>_Q62</vt:lpstr>
      <vt:lpstr>_Q63</vt:lpstr>
      <vt:lpstr>_Q64</vt:lpstr>
      <vt:lpstr>_Q65</vt:lpstr>
      <vt:lpstr>_Q66</vt:lpstr>
      <vt:lpstr>_Q67</vt:lpstr>
      <vt:lpstr>_Q68</vt:lpstr>
      <vt:lpstr>_Q69</vt:lpstr>
      <vt:lpstr>_Q7</vt:lpstr>
      <vt:lpstr>_Q70</vt:lpstr>
      <vt:lpstr>_Q71</vt:lpstr>
      <vt:lpstr>_Q72</vt:lpstr>
      <vt:lpstr>_Q73</vt:lpstr>
      <vt:lpstr>_Q74</vt:lpstr>
      <vt:lpstr>_Q75</vt:lpstr>
      <vt:lpstr>_Q76</vt:lpstr>
      <vt:lpstr>_Q77</vt:lpstr>
      <vt:lpstr>_Q78</vt:lpstr>
      <vt:lpstr>_Q79</vt:lpstr>
      <vt:lpstr>_Q8</vt:lpstr>
      <vt:lpstr>_Q80</vt:lpstr>
      <vt:lpstr>_Q81</vt:lpstr>
      <vt:lpstr>_Q82</vt:lpstr>
      <vt:lpstr>_Q83</vt:lpstr>
      <vt:lpstr>_Q84</vt:lpstr>
      <vt:lpstr>_Q85</vt:lpstr>
      <vt:lpstr>_Q86</vt:lpstr>
      <vt:lpstr>_Q87</vt:lpstr>
      <vt:lpstr>_Q88</vt:lpstr>
      <vt:lpstr>_Q89</vt:lpstr>
      <vt:lpstr>_Q9</vt:lpstr>
      <vt:lpstr>_Q90</vt:lpstr>
      <vt:lpstr>_Q91</vt:lpstr>
      <vt:lpstr>_Q92</vt:lpstr>
      <vt:lpstr>_Q93</vt:lpstr>
      <vt:lpstr>_Q94</vt:lpstr>
      <vt:lpstr>_Q95</vt:lpstr>
      <vt:lpstr>_Q96</vt:lpstr>
      <vt:lpstr>_Q97</vt:lpstr>
      <vt:lpstr>_Q98</vt:lpstr>
      <vt:lpstr>_Q99</vt:lpstr>
      <vt:lpstr>_T1</vt:lpstr>
      <vt:lpstr>_T10</vt:lpstr>
      <vt:lpstr>_T100</vt:lpstr>
      <vt:lpstr>_T101</vt:lpstr>
      <vt:lpstr>_T102</vt:lpstr>
      <vt:lpstr>_T103</vt:lpstr>
      <vt:lpstr>_T104</vt:lpstr>
      <vt:lpstr>_T105</vt:lpstr>
      <vt:lpstr>_T106</vt:lpstr>
      <vt:lpstr>_T107</vt:lpstr>
      <vt:lpstr>_T108</vt:lpstr>
      <vt:lpstr>_T109</vt:lpstr>
      <vt:lpstr>_T11</vt:lpstr>
      <vt:lpstr>_T110</vt:lpstr>
      <vt:lpstr>_T111</vt:lpstr>
      <vt:lpstr>_T112</vt:lpstr>
      <vt:lpstr>_T113</vt:lpstr>
      <vt:lpstr>_T114</vt:lpstr>
      <vt:lpstr>_T115</vt:lpstr>
      <vt:lpstr>_T116</vt:lpstr>
      <vt:lpstr>_T117</vt:lpstr>
      <vt:lpstr>_T118</vt:lpstr>
      <vt:lpstr>_T119</vt:lpstr>
      <vt:lpstr>_T12</vt:lpstr>
      <vt:lpstr>_T120</vt:lpstr>
      <vt:lpstr>_T121</vt:lpstr>
      <vt:lpstr>_T122</vt:lpstr>
      <vt:lpstr>_T123</vt:lpstr>
      <vt:lpstr>_T124</vt:lpstr>
      <vt:lpstr>_T125</vt:lpstr>
      <vt:lpstr>_T126</vt:lpstr>
      <vt:lpstr>_T127</vt:lpstr>
      <vt:lpstr>_T128</vt:lpstr>
      <vt:lpstr>_T129</vt:lpstr>
      <vt:lpstr>_T13</vt:lpstr>
      <vt:lpstr>_T130</vt:lpstr>
      <vt:lpstr>_T131</vt:lpstr>
      <vt:lpstr>_T132</vt:lpstr>
      <vt:lpstr>_T133</vt:lpstr>
      <vt:lpstr>_T134</vt:lpstr>
      <vt:lpstr>_T135</vt:lpstr>
      <vt:lpstr>_T136</vt:lpstr>
      <vt:lpstr>_T137</vt:lpstr>
      <vt:lpstr>_T138</vt:lpstr>
      <vt:lpstr>_T139</vt:lpstr>
      <vt:lpstr>_T14</vt:lpstr>
      <vt:lpstr>_T140</vt:lpstr>
      <vt:lpstr>_T141</vt:lpstr>
      <vt:lpstr>_t142</vt:lpstr>
      <vt:lpstr>_T143</vt:lpstr>
      <vt:lpstr>_T144</vt:lpstr>
      <vt:lpstr>_T145</vt:lpstr>
      <vt:lpstr>_T146</vt:lpstr>
      <vt:lpstr>_T147</vt:lpstr>
      <vt:lpstr>_T148</vt:lpstr>
      <vt:lpstr>_T149</vt:lpstr>
      <vt:lpstr>_T15</vt:lpstr>
      <vt:lpstr>_T150</vt:lpstr>
      <vt:lpstr>_T151</vt:lpstr>
      <vt:lpstr>_T152</vt:lpstr>
      <vt:lpstr>_T153</vt:lpstr>
      <vt:lpstr>_T154</vt:lpstr>
      <vt:lpstr>_T155</vt:lpstr>
      <vt:lpstr>_T156</vt:lpstr>
      <vt:lpstr>_T157</vt:lpstr>
      <vt:lpstr>_T158</vt:lpstr>
      <vt:lpstr>_T159</vt:lpstr>
      <vt:lpstr>_T16</vt:lpstr>
      <vt:lpstr>_T160</vt:lpstr>
      <vt:lpstr>_T161</vt:lpstr>
      <vt:lpstr>_T162</vt:lpstr>
      <vt:lpstr>_T163</vt:lpstr>
      <vt:lpstr>_T164</vt:lpstr>
      <vt:lpstr>_T165</vt:lpstr>
      <vt:lpstr>_T166</vt:lpstr>
      <vt:lpstr>_T167</vt:lpstr>
      <vt:lpstr>_T168</vt:lpstr>
      <vt:lpstr>_T169</vt:lpstr>
      <vt:lpstr>_T17</vt:lpstr>
      <vt:lpstr>_T170</vt:lpstr>
      <vt:lpstr>_T171</vt:lpstr>
      <vt:lpstr>_T172</vt:lpstr>
      <vt:lpstr>_T173</vt:lpstr>
      <vt:lpstr>_T174</vt:lpstr>
      <vt:lpstr>_T175</vt:lpstr>
      <vt:lpstr>_T176</vt:lpstr>
      <vt:lpstr>_T177</vt:lpstr>
      <vt:lpstr>_T178</vt:lpstr>
      <vt:lpstr>_T179</vt:lpstr>
      <vt:lpstr>_T18</vt:lpstr>
      <vt:lpstr>_T180</vt:lpstr>
      <vt:lpstr>_T181</vt:lpstr>
      <vt:lpstr>_T182</vt:lpstr>
      <vt:lpstr>_T183</vt:lpstr>
      <vt:lpstr>_T184</vt:lpstr>
      <vt:lpstr>_T185</vt:lpstr>
      <vt:lpstr>_T186</vt:lpstr>
      <vt:lpstr>_T187</vt:lpstr>
      <vt:lpstr>_T188</vt:lpstr>
      <vt:lpstr>_T189</vt:lpstr>
      <vt:lpstr>_T19</vt:lpstr>
      <vt:lpstr>_T190</vt:lpstr>
      <vt:lpstr>_T191</vt:lpstr>
      <vt:lpstr>_T192</vt:lpstr>
      <vt:lpstr>_T193</vt:lpstr>
      <vt:lpstr>_T194</vt:lpstr>
      <vt:lpstr>_T195</vt:lpstr>
      <vt:lpstr>_T196</vt:lpstr>
      <vt:lpstr>_T197</vt:lpstr>
      <vt:lpstr>_T198</vt:lpstr>
      <vt:lpstr>_T199</vt:lpstr>
      <vt:lpstr>_T2</vt:lpstr>
      <vt:lpstr>_T20</vt:lpstr>
      <vt:lpstr>_T200</vt:lpstr>
      <vt:lpstr>_T201</vt:lpstr>
      <vt:lpstr>_T202</vt:lpstr>
      <vt:lpstr>_T203</vt:lpstr>
      <vt:lpstr>_T204</vt:lpstr>
      <vt:lpstr>_T205</vt:lpstr>
      <vt:lpstr>_T206</vt:lpstr>
      <vt:lpstr>_T207</vt:lpstr>
      <vt:lpstr>_T208</vt:lpstr>
      <vt:lpstr>_T209</vt:lpstr>
      <vt:lpstr>_T21</vt:lpstr>
      <vt:lpstr>_T210</vt:lpstr>
      <vt:lpstr>_T211</vt:lpstr>
      <vt:lpstr>_T212</vt:lpstr>
      <vt:lpstr>_T213</vt:lpstr>
      <vt:lpstr>_T214</vt:lpstr>
      <vt:lpstr>_T215</vt:lpstr>
      <vt:lpstr>_T216</vt:lpstr>
      <vt:lpstr>_T217</vt:lpstr>
      <vt:lpstr>_T218</vt:lpstr>
      <vt:lpstr>_T22</vt:lpstr>
      <vt:lpstr>_T23</vt:lpstr>
      <vt:lpstr>_T24</vt:lpstr>
      <vt:lpstr>_T25</vt:lpstr>
      <vt:lpstr>_T26</vt:lpstr>
      <vt:lpstr>_T27</vt:lpstr>
      <vt:lpstr>_T28</vt:lpstr>
      <vt:lpstr>_T29</vt:lpstr>
      <vt:lpstr>_T3</vt:lpstr>
      <vt:lpstr>_T30</vt:lpstr>
      <vt:lpstr>_T31</vt:lpstr>
      <vt:lpstr>_T32</vt:lpstr>
      <vt:lpstr>_T33</vt:lpstr>
      <vt:lpstr>_T34</vt:lpstr>
      <vt:lpstr>_T35</vt:lpstr>
      <vt:lpstr>_T36</vt:lpstr>
      <vt:lpstr>_T37</vt:lpstr>
      <vt:lpstr>_T38</vt:lpstr>
      <vt:lpstr>_T39</vt:lpstr>
      <vt:lpstr>_T4</vt:lpstr>
      <vt:lpstr>_T40</vt:lpstr>
      <vt:lpstr>_T41</vt:lpstr>
      <vt:lpstr>_T42</vt:lpstr>
      <vt:lpstr>_T43</vt:lpstr>
      <vt:lpstr>_T44</vt:lpstr>
      <vt:lpstr>_T45</vt:lpstr>
      <vt:lpstr>_T46</vt:lpstr>
      <vt:lpstr>_T47</vt:lpstr>
      <vt:lpstr>_T48</vt:lpstr>
      <vt:lpstr>_T49</vt:lpstr>
      <vt:lpstr>_T5</vt:lpstr>
      <vt:lpstr>_T50</vt:lpstr>
      <vt:lpstr>_T51</vt:lpstr>
      <vt:lpstr>_T52</vt:lpstr>
      <vt:lpstr>_T53</vt:lpstr>
      <vt:lpstr>_T54</vt:lpstr>
      <vt:lpstr>_T55</vt:lpstr>
      <vt:lpstr>_T56</vt:lpstr>
      <vt:lpstr>_T57</vt:lpstr>
      <vt:lpstr>_T58</vt:lpstr>
      <vt:lpstr>_T59</vt:lpstr>
      <vt:lpstr>_T6</vt:lpstr>
      <vt:lpstr>_T60</vt:lpstr>
      <vt:lpstr>_T61</vt:lpstr>
      <vt:lpstr>_T62</vt:lpstr>
      <vt:lpstr>_T63</vt:lpstr>
      <vt:lpstr>_T64</vt:lpstr>
      <vt:lpstr>_T65</vt:lpstr>
      <vt:lpstr>_T66</vt:lpstr>
      <vt:lpstr>_T67</vt:lpstr>
      <vt:lpstr>_T68</vt:lpstr>
      <vt:lpstr>_T69</vt:lpstr>
      <vt:lpstr>_T7</vt:lpstr>
      <vt:lpstr>_T70</vt:lpstr>
      <vt:lpstr>_T71</vt:lpstr>
      <vt:lpstr>_T72</vt:lpstr>
      <vt:lpstr>_T73</vt:lpstr>
      <vt:lpstr>_T74</vt:lpstr>
      <vt:lpstr>_T75</vt:lpstr>
      <vt:lpstr>_T76</vt:lpstr>
      <vt:lpstr>_T77</vt:lpstr>
      <vt:lpstr>_T78</vt:lpstr>
      <vt:lpstr>_T79</vt:lpstr>
      <vt:lpstr>_T8</vt:lpstr>
      <vt:lpstr>_T80</vt:lpstr>
      <vt:lpstr>_T81</vt:lpstr>
      <vt:lpstr>_T82</vt:lpstr>
      <vt:lpstr>_T83</vt:lpstr>
      <vt:lpstr>_T84</vt:lpstr>
      <vt:lpstr>_T85</vt:lpstr>
      <vt:lpstr>_T86</vt:lpstr>
      <vt:lpstr>_T87</vt:lpstr>
      <vt:lpstr>_T88</vt:lpstr>
      <vt:lpstr>_T89</vt:lpstr>
      <vt:lpstr>_T9</vt:lpstr>
      <vt:lpstr>_T90</vt:lpstr>
      <vt:lpstr>_T91</vt:lpstr>
      <vt:lpstr>_T92</vt:lpstr>
      <vt:lpstr>_T93</vt:lpstr>
      <vt:lpstr>_T94</vt:lpstr>
      <vt:lpstr>_T95</vt:lpstr>
      <vt:lpstr>_T96</vt:lpstr>
      <vt:lpstr>_T97</vt:lpstr>
      <vt:lpstr>_T98</vt:lpstr>
      <vt:lpstr>_T99</vt:lpstr>
      <vt:lpstr>_UT50</vt:lpstr>
      <vt:lpstr>'Credits and Notes'!Print_Area</vt:lpstr>
      <vt:lpstr>'The MID Report'!Print_Area</vt:lpstr>
    </vt:vector>
  </TitlesOfParts>
  <Company>J G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Jurgen G Schmidt;D. Michael Coy, MA, LICSW</dc:creator>
  <cp:lastModifiedBy>D. Michael Coy, MA, LICSW</cp:lastModifiedBy>
  <cp:lastPrinted>2020-04-25T19:51:53Z</cp:lastPrinted>
  <dcterms:created xsi:type="dcterms:W3CDTF">2003-11-07T04:33:40Z</dcterms:created>
  <dcterms:modified xsi:type="dcterms:W3CDTF">2022-12-30T20:55:47Z</dcterms:modified>
</cp:coreProperties>
</file>